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P5qwl1tltNG1/rXcLyd6vLhF8kzo3F4B9193Ayj+YGybF01+0Wik3vyBRFePm8yz3p4eBK4qU3I+FWol246+2Q==" workbookSaltValue="TVY3bgvRi7CFC09qJGp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8" i="9"/>
  <c r="X12" i="21" s="1"/>
  <c r="EP19" i="8"/>
  <c r="EP19" i="19"/>
  <c r="AP16" i="20"/>
  <c r="BH9" i="16"/>
  <c r="V15" i="11"/>
  <c r="BJ17" i="11"/>
  <c r="BH15" i="11"/>
  <c r="BH15" i="16"/>
  <c r="Q17" i="20"/>
  <c r="Q18" i="20" s="1"/>
  <c r="V11" i="16"/>
  <c r="BF17" i="11"/>
  <c r="BF16" i="11"/>
  <c r="S17" i="16"/>
  <c r="BL12" i="11"/>
  <c r="AT17" i="20"/>
  <c r="V17" i="16"/>
  <c r="AL9" i="11"/>
  <c r="F9" i="2"/>
  <c r="M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D12" i="8"/>
  <c r="BF9" i="8"/>
  <c r="J18" i="17"/>
  <c r="L15" i="2"/>
  <c r="L17" i="2"/>
  <c r="V10" i="16"/>
  <c r="V9" i="16"/>
  <c r="BA18" i="13"/>
  <c r="AH20" i="20"/>
  <c r="AO20" i="20"/>
  <c r="AN20" i="20"/>
  <c r="Y20" i="20"/>
  <c r="U10" i="11"/>
  <c r="AL20" i="20"/>
  <c r="AB20" i="20"/>
  <c r="C17" i="6" l="1"/>
  <c r="AJ19" i="8"/>
  <c r="BD16" i="8"/>
  <c r="H16" i="7" s="1"/>
  <c r="T13" i="12"/>
  <c r="AC10" i="11"/>
  <c r="D10" i="6"/>
  <c r="BE10" i="8"/>
  <c r="I10" i="12" s="1"/>
  <c r="AL12" i="11"/>
  <c r="H12" i="7"/>
  <c r="E12" i="6"/>
  <c r="AO12" i="11"/>
  <c r="B10" i="6"/>
  <c r="H12" i="2"/>
  <c r="K15" i="7"/>
  <c r="L9" i="14"/>
  <c r="C10" i="6"/>
  <c r="AO17" i="11"/>
  <c r="L16" i="14"/>
  <c r="L17" i="14"/>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F15" i="13"/>
  <c r="BG16" i="13"/>
  <c r="BE16" i="13"/>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K9" i="12" l="1"/>
  <c r="F13" i="2"/>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<sst xmlns="http://schemas.openxmlformats.org/spreadsheetml/2006/main" count="2074" uniqueCount="909">
  <si>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</si>
  <si>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</si>
  <si>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</si>
  <si>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</si>
  <si>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</si>
  <si>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</si>
  <si>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</si>
  <si>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</si>
  <si>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</si>
  <si>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</si>
  <si>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</si>
  <si>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</si>
  <si>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</si>
  <si>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</si>
  <si>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</si>
  <si>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</si>
  <si>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</si>
  <si>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</si>
  <si>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</si>
  <si>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</si>
  <si>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</si>
  <si>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</si>
  <si>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</si>
  <si>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</si>
  <si>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</si>
  <si>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</si>
  <si>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</si>
  <si>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</si>
  <si>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</si>
  <si>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</si>
  <si>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</si>
  <si>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</si>
  <si>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</si>
  <si>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</si>
  <si>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</si>
  <si>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</si>
  <si>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</si>
  <si>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</si>
  <si>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</si>
  <si>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</si>
  <si>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</si>
  <si>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</si>
  <si>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</si>
  <si>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</si>
  <si>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</si>
  <si>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</si>
  <si>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</si>
  <si>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</si>
  <si>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</si>
  <si>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</si>
  <si>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</si>
  <si>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</si>
  <si>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</si>
  <si>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</si>
  <si>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</si>
  <si>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</si>
  <si>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</si>
  <si>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</si>
  <si>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</si>
  <si>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</si>
  <si>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</si>
  <si>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</si>
  <si>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</si>
  <si>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</si>
  <si>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</si>
  <si>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</si>
  <si>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</si>
  <si>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</si>
  <si>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</si>
  <si>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</si>
  <si>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</si>
  <si>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</si>
  <si>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</si>
  <si>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</si>
  <si>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</si>
  <si>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</si>
  <si>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</si>
  <si>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</si>
  <si>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</si>
  <si>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</si>
  <si>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</si>
  <si>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</si>
  <si>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</si>
  <si>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</si>
  <si>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</si>
  <si>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</si>
  <si>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</si>
  <si>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</si>
  <si>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</si>
  <si>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</si>
  <si>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</si>
  <si>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</si>
  <si>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</si>
  <si>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</si>
  <si>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</si>
  <si>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</si>
  <si>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</si>
  <si>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</si>
  <si>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</si>
  <si>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</si>
  <si>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</si>
  <si>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</si>
  <si>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</si>
  <si>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</si>
  <si>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</si>
  <si>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</si>
  <si>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</si>
  <si>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</si>
  <si>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</si>
  <si>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</si>
  <si>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</si>
  <si>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</si>
  <si>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</si>
  <si>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</si>
  <si>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</si>
  <si>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</si>
  <si>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</si>
  <si>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</si>
  <si>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</si>
  <si>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</si>
  <si>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</si>
  <si>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</si>
  <si>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</si>
  <si>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</si>
  <si>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</si>
  <si>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</si>
  <si>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</si>
  <si>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</si>
  <si>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</si>
  <si>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</si>
  <si>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</si>
  <si>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</si>
  <si>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</si>
  <si>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</si>
  <si>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</si>
  <si>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</si>
  <si>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</si>
  <si>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</si>
  <si>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</si>
  <si>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</si>
  <si>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</si>
  <si>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</si>
  <si>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</si>
  <si>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</si>
  <si>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</si>
  <si>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</si>
  <si>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</si>
  <si>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</si>
  <si>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</si>
  <si>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</si>
  <si>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</si>
  <si>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</si>
  <si>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</si>
  <si>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</si>
  <si>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</si>
  <si>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</si>
  <si>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</si>
  <si>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</si>
  <si>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</si>
  <si>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</si>
  <si>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</si>
  <si>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</si>
  <si>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</si>
  <si>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</si>
  <si>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</si>
  <si>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</si>
  <si>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</si>
  <si>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</si>
  <si>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</si>
  <si>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</si>
  <si>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</si>
  <si>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</si>
  <si>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</si>
  <si>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</si>
  <si>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</si>
  <si>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</si>
  <si>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</si>
  <si>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</si>
  <si>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</si>
  <si>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</si>
  <si>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</si>
  <si>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</si>
  <si>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</si>
  <si>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</si>
  <si>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</si>
  <si>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</si>
  <si>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</si>
  <si>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</si>
  <si>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</si>
  <si>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</si>
  <si>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</si>
  <si>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</si>
  <si>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</si>
  <si>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</si>
  <si>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</si>
  <si>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</si>
  <si>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</si>
  <si>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</si>
  <si>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</si>
  <si>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</si>
  <si>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</si>
  <si>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</si>
  <si>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</si>
  <si>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</si>
  <si>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</si>
  <si>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</si>
  <si>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</si>
  <si>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</si>
  <si>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</si>
  <si>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</si>
  <si>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</si>
  <si>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</si>
  <si>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</si>
  <si>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</si>
  <si>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</si>
  <si>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</si>
  <si>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</si>
  <si>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</si>
  <si>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</si>
  <si>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</si>
  <si>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</si>
  <si>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</si>
  <si>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</si>
  <si>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</si>
  <si>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</si>
  <si>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</si>
  <si>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</si>
  <si>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</si>
  <si>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</si>
  <si>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</si>
  <si>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</si>
  <si>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</si>
  <si>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</si>
  <si>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</si>
  <si>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</si>
  <si>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</si>
  <si>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</si>
  <si>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</si>
  <si>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</si>
  <si>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</si>
  <si>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</si>
  <si>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</si>
  <si>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</si>
  <si>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</si>
  <si>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</si>
  <si>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</si>
  <si>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</si>
  <si>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</si>
  <si>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</si>
  <si>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</si>
  <si>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</si>
  <si>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</si>
  <si>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</si>
  <si>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</si>
  <si>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</si>
  <si>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</si>
  <si>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</si>
  <si>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</si>
  <si>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</si>
  <si>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</si>
  <si>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</si>
  <si>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</si>
  <si>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</si>
  <si>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</si>
  <si>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</si>
  <si>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</si>
  <si>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</si>
  <si>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</si>
  <si>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</si>
  <si>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</si>
  <si>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</si>
  <si>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</si>
  <si>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</si>
  <si>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</si>
  <si>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</si>
  <si>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</si>
  <si>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</si>
  <si>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</si>
  <si>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</si>
  <si>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</si>
  <si>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</si>
  <si>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</si>
  <si>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</si>
  <si>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</si>
  <si>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</si>
  <si>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</si>
  <si>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</si>
  <si>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</si>
  <si>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</si>
  <si>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</si>
  <si>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</si>
  <si>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</si>
  <si>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</si>
  <si>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</si>
  <si>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</si>
  <si>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</si>
  <si>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</si>
  <si>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</si>
  <si>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</si>
  <si>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</si>
  <si>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</si>
  <si>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</si>
  <si>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</si>
  <si>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</si>
  <si>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</si>
  <si>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</si>
  <si>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</si>
  <si>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</si>
  <si>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</si>
  <si>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</si>
  <si>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</si>
  <si>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</si>
  <si>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</si>
  <si>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</si>
  <si>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</si>
  <si>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</si>
  <si>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</si>
  <si>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</si>
  <si>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</si>
  <si>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</si>
  <si>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</si>
  <si>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</si>
  <si>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</si>
  <si>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</si>
  <si>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</si>
  <si>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</si>
  <si>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</si>
  <si>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</si>
  <si>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</si>
  <si>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</si>
  <si>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</si>
  <si>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</si>
  <si>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</si>
  <si>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</si>
  <si>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</si>
  <si>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</si>
  <si>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</si>
  <si>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</si>
  <si>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</si>
  <si>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</si>
  <si>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</si>
  <si>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</si>
  <si>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</si>
  <si>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</si>
  <si>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</si>
  <si>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</si>
  <si>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</si>
  <si>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</si>
  <si>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</si>
  <si>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</si>
  <si>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</si>
  <si>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</si>
  <si>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</si>
  <si>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</si>
  <si>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</si>
  <si>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</si>
  <si>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</si>
  <si>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</si>
  <si>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</si>
  <si>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</si>
  <si>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</si>
  <si>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</si>
  <si>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</si>
  <si>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</si>
  <si>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</si>
  <si>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</si>
  <si>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</si>
  <si>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</si>
  <si>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</si>
  <si>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</si>
  <si>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</si>
  <si>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</si>
  <si>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</si>
  <si>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</si>
  <si>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</si>
  <si>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</si>
  <si>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</si>
  <si>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</si>
  <si>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</si>
  <si>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</si>
  <si>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</si>
  <si>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</si>
  <si>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</si>
  <si>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</si>
  <si>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</si>
  <si>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</si>
  <si>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</si>
  <si>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</si>
  <si>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</si>
  <si>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</si>
  <si>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</si>
  <si>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</si>
  <si>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</si>
  <si>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</si>
  <si>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</si>
  <si>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</si>
  <si>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</si>
  <si>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</si>
  <si>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</si>
  <si>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</si>
  <si>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</si>
  <si>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</si>
  <si>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</si>
  <si>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</si>
  <si>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</si>
  <si>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</si>
  <si>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</si>
  <si>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</si>
  <si>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</si>
  <si>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</si>
  <si>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</si>
  <si>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</si>
  <si>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</si>
  <si>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</si>
  <si>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</si>
  <si>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</si>
  <si>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</si>
  <si>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</si>
  <si>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</si>
  <si>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</si>
  <si>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</si>
  <si>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</si>
  <si>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</si>
  <si>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</si>
  <si>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</si>
  <si>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</si>
  <si>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</si>
  <si>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</si>
  <si>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</si>
  <si>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</si>
  <si>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</si>
  <si>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</si>
  <si>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</si>
  <si>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</si>
  <si>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</si>
  <si>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</si>
  <si>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</si>
  <si>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</si>
  <si>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</si>
  <si>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</si>
  <si>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</si>
  <si>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</si>
  <si>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</si>
  <si>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</si>
  <si>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</si>
  <si>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</si>
  <si>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</si>
  <si>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</si>
  <si>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</si>
  <si>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</si>
  <si>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</si>
  <si>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</si>
  <si>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</si>
  <si>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</si>
  <si>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</si>
  <si>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</si>
  <si>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</si>
  <si>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</si>
  <si>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</si>
  <si>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</si>
  <si>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</si>
  <si>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</si>
  <si>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</si>
  <si>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</si>
  <si>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</si>
  <si>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</si>
  <si>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</si>
  <si>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</si>
  <si>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</si>
  <si>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</si>
  <si>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</si>
  <si>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</si>
  <si>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</si>
  <si>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</si>
  <si>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</si>
  <si>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</si>
  <si>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</si>
  <si>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</si>
  <si>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</si>
  <si>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</si>
  <si>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</si>
  <si>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</si>
  <si>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</si>
  <si>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</si>
  <si>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</si>
  <si>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</si>
  <si>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</si>
  <si>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</si>
  <si>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</si>
  <si>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</si>
  <si>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</si>
  <si>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</si>
  <si>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</si>
  <si>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</si>
  <si>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</si>
  <si>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</si>
  <si>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</si>
  <si>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</si>
  <si>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</si>
  <si>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</si>
  <si>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</si>
  <si>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</si>
  <si>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</si>
  <si>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</si>
  <si>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</si>
  <si>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</si>
  <si>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</si>
  <si>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</si>
  <si>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</si>
  <si>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</si>
  <si>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</si>
  <si>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</si>
  <si>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</si>
  <si>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</si>
  <si>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</si>
  <si>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</si>
  <si>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</si>
  <si>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</si>
  <si>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</si>
  <si>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</si>
  <si>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</si>
  <si>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</si>
  <si>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</si>
  <si>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</si>
  <si>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</si>
  <si>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</si>
  <si>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</si>
  <si>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</si>
  <si>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</si>
  <si>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</si>
  <si>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</si>
  <si>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</si>
  <si>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</si>
  <si>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</si>
  <si>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</si>
  <si>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</si>
  <si>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</si>
  <si>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</si>
  <si>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</si>
  <si>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</si>
  <si>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</si>
  <si>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</si>
  <si>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</si>
  <si>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</si>
  <si>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</si>
  <si>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</si>
  <si>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</si>
  <si>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</si>
  <si>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</si>
  <si>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</si>
  <si>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</si>
  <si>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</si>
  <si>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</si>
  <si>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</si>
  <si>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</si>
  <si>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</si>
  <si>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</si>
  <si>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</si>
  <si>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</si>
  <si>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</si>
  <si>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</si>
  <si>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</si>
  <si>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</si>
  <si>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</si>
  <si>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</si>
  <si>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</si>
  <si>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</si>
  <si>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</si>
  <si>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</si>
  <si>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</si>
  <si>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</si>
  <si>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</si>
  <si>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</si>
  <si>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</si>
  <si>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</si>
  <si>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</si>
  <si>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</si>
  <si>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</si>
  <si>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</si>
  <si>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</si>
  <si>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</si>
  <si>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</si>
  <si>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</si>
  <si>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</si>
  <si>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</si>
  <si>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</si>
  <si>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</si>
  <si>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</si>
  <si>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</si>
  <si>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</si>
  <si>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</si>
  <si>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</si>
  <si>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</si>
  <si>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</si>
  <si>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</si>
  <si>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</si>
  <si>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</si>
  <si>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</si>
  <si>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</si>
  <si>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</si>
  <si>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</si>
  <si>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</si>
  <si>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</si>
  <si>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</si>
  <si>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</si>
  <si>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</si>
  <si>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</si>
  <si>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</si>
  <si>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</si>
  <si>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</si>
  <si>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</si>
  <si>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</si>
  <si>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</si>
  <si>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</si>
  <si>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</si>
  <si>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</si>
  <si>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</si>
  <si>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</si>
  <si>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</si>
  <si>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</si>
  <si>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</si>
  <si>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</si>
  <si>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</si>
  <si>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</si>
  <si>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</si>
  <si>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</si>
  <si>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</si>
  <si>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</si>
  <si>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</si>
  <si>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</si>
  <si>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</si>
  <si>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</si>
  <si>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</si>
  <si>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</si>
  <si>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</si>
  <si>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</si>
  <si>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</si>
  <si>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</si>
  <si>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</si>
  <si>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</si>
  <si>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</si>
  <si>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</si>
  <si>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</si>
  <si>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</si>
  <si>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</si>
  <si>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</si>
  <si>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</si>
  <si>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</si>
  <si>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</si>
  <si>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</si>
  <si>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</si>
  <si>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</si>
  <si>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</si>
  <si>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</si>
  <si>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</si>
  <si>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</si>
  <si>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</si>
  <si>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</si>
  <si>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</si>
  <si>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</si>
  <si>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</si>
  <si>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</si>
  <si>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</si>
  <si>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</si>
  <si>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</si>
  <si>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</si>
  <si>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</si>
  <si>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</si>
  <si>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</si>
  <si>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</si>
  <si>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</si>
  <si>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</si>
  <si>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</si>
  <si>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</si>
  <si>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</si>
  <si>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</si>
  <si>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</si>
  <si>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</si>
  <si>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</si>
  <si>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</si>
  <si>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</si>
  <si>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</si>
  <si>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</si>
  <si>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</si>
  <si>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</si>
  <si>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</si>
  <si>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</si>
  <si>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</si>
  <si>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</si>
  <si>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</si>
  <si>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</si>
  <si>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</si>
  <si>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</si>
  <si>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</si>
  <si>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</si>
  <si>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</si>
  <si>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</si>
  <si>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</si>
  <si>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</si>
  <si>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</si>
  <si>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</si>
  <si>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</si>
  <si>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</si>
  <si>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</si>
  <si>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</si>
  <si>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</si>
  <si>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</si>
  <si>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</si>
  <si>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</si>
  <si>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</si>
  <si>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</si>
  <si>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</si>
  <si>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</si>
  <si>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</si>
  <si>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</si>
  <si>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</si>
  <si>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</si>
  <si>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</si>
  <si>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</si>
  <si>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</si>
  <si>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</si>
  <si>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</si>
  <si>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</si>
  <si>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</si>
  <si>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</si>
  <si>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</si>
  <si>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</si>
  <si>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</si>
  <si>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</si>
  <si>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</si>
  <si>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</si>
  <si>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</si>
  <si>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</si>
  <si>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</si>
  <si>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</si>
  <si>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</si>
  <si>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</si>
  <si>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</si>
  <si>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</si>
  <si>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</si>
  <si>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</si>
  <si>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</si>
  <si>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</si>
  <si>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</si>
  <si>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</si>
  <si>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</si>
  <si>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</si>
  <si>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</si>
  <si>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</si>
  <si>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</si>
  <si>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</si>
  <si>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</si>
  <si>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</si>
  <si>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</si>
  <si>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</si>
  <si>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</si>
  <si>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</si>
  <si>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</si>
  <si>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</si>
  <si>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</si>
  <si>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</si>
  <si>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</si>
  <si>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</si>
  <si>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</si>
  <si>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</si>
  <si>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</si>
  <si>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</si>
  <si>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</si>
  <si>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</si>
  <si>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</si>
  <si>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</si>
  <si>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</si>
  <si>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</si>
  <si>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</si>
  <si>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</si>
  <si>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</si>
  <si>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</si>
  <si>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</si>
  <si>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</si>
  <si>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</si>
  <si>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</si>
  <si>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</si>
  <si>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</si>
  <si>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</si>
  <si>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</si>
  <si>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</si>
  <si>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</si>
  <si>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</si>
  <si>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</si>
  <si>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</si>
  <si>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</si>
  <si>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</si>
  <si>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</si>
  <si>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</si>
  <si>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</si>
  <si>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</si>
  <si>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</si>
  <si>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</si>
  <si>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</si>
  <si>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</si>
  <si>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</si>
  <si>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</si>
  <si>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</si>
  <si>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</si>
  <si>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</si>
  <si>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</si>
  <si>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</si>
  <si>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</si>
  <si>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</si>
  <si>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</si>
  <si>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</si>
  <si>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</si>
  <si>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</si>
  <si>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</si>
  <si>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</si>
  <si>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</si>
  <si>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</si>
  <si>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</si>
  <si>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</si>
  <si>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</si>
  <si>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</si>
  <si>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</si>
  <si>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</si>
  <si>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</si>
  <si>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</si>
  <si>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</si>
  <si>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</si>
  <si>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</si>
  <si>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</si>
  <si>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</si>
  <si>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</si>
  <si>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</si>
  <si>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</si>
  <si>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</si>
  <si>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</si>
  <si>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</si>
  <si>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</si>
  <si>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</si>
  <si>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</si>
  <si>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</si>
  <si>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</si>
  <si>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</si>
  <si>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</si>
  <si>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</si>
  <si>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</si>
  <si>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</si>
  <si>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</si>
  <si>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</si>
  <si>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</si>
  <si>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</si>
  <si>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</si>
  <si>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</si>
  <si>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</si>
  <si>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</si>
  <si>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</si>
  <si>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</si>
  <si>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</si>
  <si>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</si>
  <si>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</si>
  <si>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</si>
  <si>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</si>
  <si>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</si>
  <si>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</si>
  <si>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</si>
  <si>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</si>
  <si>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</si>
  <si>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</si>
  <si>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</si>
  <si>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</si>
  <si>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</si>
  <si>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</si>
  <si>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</si>
  <si>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</si>
  <si>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</si>
  <si>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</si>
  <si>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</si>
  <si>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</si>
  <si>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</si>
  <si>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</si>
  <si>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</si>
  <si>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</si>
  <si>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</si>
  <si>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</si>
  <si>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</si>
  <si>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</si>
  <si>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</si>
  <si>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</si>
  <si>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</si>
  <si>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</si>
  <si>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</si>
  <si>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</si>
  <si>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</si>
  <si>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</si>
  <si>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</si>
  <si>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</si>
  <si>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</si>
  <si>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</si>
  <si>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</si>
  <si>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</si>
  <si>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</si>
  <si>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</si>
  <si>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</si>
  <si>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</si>
  <si>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</si>
  <si>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</si>
  <si>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</si>
  <si>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</si>
  <si>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</si>
  <si>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SAN CRISTOBAL DE LA 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</si>
</sst>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zepsR6S9+zyObcuLPhw6cvjbVVHd4H08fAVYnm1eAg0Mnc8EjdIfyFAlRqKZwGxEgV+5smV21pAu2bAdeW/oA==" saltValue="oGWi8C5A6hY36HqnDFje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27.532391048292109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2</v>
      </c>
      <c r="F10" s="226">
        <f>IF(ISNUMBER(Datos!K10),Datos!K10," - ")</f>
        <v>3</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19.529824561403508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1962</v>
      </c>
      <c r="D15" s="225">
        <f>IF(ISNUMBER(IF(D_I="SI",Datos!I15,Datos!I15+Datos!AC15)),IF(D_I="SI",Datos!I15,Datos!I15+Datos!AC15)," - ")</f>
        <v>1911</v>
      </c>
      <c r="E15" s="226">
        <f>IF(ISNUMBER(IF(D_I="SI",Datos!J15,Datos!J15+Datos!AD15)),IF(D_I="SI",Datos!J15,Datos!J15+Datos!AD15)," - ")</f>
        <v>3507</v>
      </c>
      <c r="F15" s="226">
        <f>IF(ISNUMBER(IF(D_I="SI",Datos!K15,Datos!K15+Datos!AE15)),IF(D_I="SI",Datos!K15,Datos!K15+Datos!AE15)," - ")</f>
        <v>3536</v>
      </c>
      <c r="G15" s="1034" t="str">
        <f>IF(Datos!E15&lt;&gt;"",Datos!E15,Datos!D15)</f>
        <v>03</v>
      </c>
      <c r="H15" s="227">
        <f>IF(ISNUMBER(IF(D_I="SI",Datos!L15,Datos!L15+Datos!AF15)),IF(D_I="SI",Datos!L15,Datos!L15+Datos!AF15)," - ")</f>
        <v>1933</v>
      </c>
      <c r="I15" s="1044" t="str">
        <f>IF(ISNUMBER(Datos!AS15/Datos!BM15),Datos!AS15/Datos!BM15," - ")</f>
        <v xml:space="preserve"> - </v>
      </c>
      <c r="J15" s="1045">
        <f>IF(ISNUMBER(Datos!BY15/Datos!CN15),Datos!BY15/Datos!CN15," - ")</f>
        <v>0</v>
      </c>
      <c r="K15" s="230">
        <f t="shared" ref="K15:K17" si="3">IF(ISNUMBER((E15-F15)/C15),(E15-F15)/C15," - ")</f>
        <v>-1.4780835881753314E-2</v>
      </c>
      <c r="L15" s="1025">
        <f>IF(ISNUMBER(NºAsuntos!I15/NºAsuntos!G15),(NºAsuntos!I15/NºAsuntos!G15)*11," - ")</f>
        <v>6.0132918552036196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9</v>
      </c>
      <c r="D16" s="225">
        <f>IF(ISNUMBER(IF(D_I="SI",Datos!I16,Datos!I16+Datos!AC16)),IF(D_I="SI",Datos!I16,Datos!I16+Datos!AC16)," - ")</f>
        <v>10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9</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0</v>
      </c>
      <c r="F17" s="226">
        <f>IF(ISNUMBER(IF(D_I="SI",Datos!K17,Datos!K17+Datos!AE17)),IF(D_I="SI",Datos!K17,Datos!K17+Datos!AE17)," - ")</f>
        <v>16</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-0.84210526315789469</v>
      </c>
      <c r="L17" s="1025">
        <f>IF(ISNUMBER(NºAsuntos!I17/NºAsuntos!G17),(NºAsuntos!I17/NºAsuntos!G17)*11," - ")</f>
        <v>2.0625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1990</v>
      </c>
      <c r="D18" s="1049">
        <f>SUBTOTAL(9,D15:D17)</f>
        <v>1940</v>
      </c>
      <c r="E18" s="1050">
        <f>SUBTOTAL(9,E15:E17)</f>
        <v>3507</v>
      </c>
      <c r="F18" s="1050">
        <f>SUBTOTAL(9,F15:F17)</f>
        <v>3552</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2001</v>
      </c>
      <c r="D19" s="1071">
        <f>SUBTOTAL(9,D9:D18)</f>
        <v>1951</v>
      </c>
      <c r="E19" s="1072">
        <f>SUBTOTAL(9,E9:E18)</f>
        <v>3509</v>
      </c>
      <c r="F19" s="1072">
        <f>SUBTOTAL(9,F9:F18)</f>
        <v>3555</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7NSwgGbUhLULwd1NG2onCObAn8WG4iQ5zvNVYzXE4AuaOST4SvUpWfN0HfAJKr+qHUvkW2WWhfWboOrYJFeGfg==" saltValue="AU+sMqcLWpNVN3C01EMSF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SWB4b1CVd4LGokBwFcs7dyAUpjWltIqfMI1/dIUnahnDaMSEW8qizkZO2B9hHUsKCVB22SHcV+wmct6hKcZUg==" saltValue="pIzA69y55BLGGKXV0D6V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8440</v>
      </c>
      <c r="J9" s="181">
        <v>6232</v>
      </c>
      <c r="K9" s="181">
        <v>4146</v>
      </c>
      <c r="L9" s="181">
        <v>10526</v>
      </c>
      <c r="M9" s="181">
        <v>1499</v>
      </c>
      <c r="N9" s="181">
        <v>1705</v>
      </c>
      <c r="O9" s="181">
        <v>1300</v>
      </c>
      <c r="P9" s="181">
        <v>986</v>
      </c>
      <c r="Q9" s="181">
        <v>724</v>
      </c>
      <c r="R9" s="181">
        <v>12252</v>
      </c>
      <c r="S9" s="181">
        <v>10741</v>
      </c>
      <c r="T9" s="181">
        <v>3821</v>
      </c>
      <c r="U9" s="181">
        <v>4135</v>
      </c>
      <c r="V9" s="181">
        <v>10427</v>
      </c>
      <c r="W9" s="181">
        <v>1723</v>
      </c>
      <c r="X9" s="188">
        <v>1358</v>
      </c>
      <c r="Y9" s="191">
        <v>113</v>
      </c>
      <c r="Z9" s="181">
        <v>85</v>
      </c>
      <c r="AA9" s="181">
        <v>99</v>
      </c>
      <c r="AB9" s="181">
        <v>99</v>
      </c>
      <c r="AC9" s="181">
        <v>0</v>
      </c>
      <c r="AD9" s="181">
        <v>0</v>
      </c>
      <c r="AE9" s="181">
        <v>0</v>
      </c>
      <c r="AF9" s="188">
        <v>0</v>
      </c>
      <c r="AG9" s="191">
        <v>171</v>
      </c>
      <c r="AH9" s="181">
        <v>138</v>
      </c>
      <c r="AI9" s="181">
        <v>146</v>
      </c>
      <c r="AJ9" s="192">
        <v>154</v>
      </c>
      <c r="AK9" s="180">
        <v>0</v>
      </c>
      <c r="AL9" s="181">
        <v>0</v>
      </c>
      <c r="AM9" s="181">
        <v>0</v>
      </c>
      <c r="AN9" s="188">
        <v>0</v>
      </c>
      <c r="AO9" s="258">
        <v>7</v>
      </c>
      <c r="AP9" s="154">
        <v>7</v>
      </c>
      <c r="AQ9" s="154">
        <v>7</v>
      </c>
      <c r="AR9" s="193">
        <v>7</v>
      </c>
      <c r="AS9" s="338" t="s">
        <v>790</v>
      </c>
      <c r="AT9" s="195"/>
      <c r="AU9" s="194"/>
      <c r="AV9" s="195"/>
      <c r="AW9" s="194"/>
      <c r="AX9" s="195"/>
      <c r="AY9" s="123">
        <f>IF(ISNUMBER(IF(J_V="SI",S9,S9+AG9)),IF(J_V="SI",S9,S9+AG9)," - ")</f>
        <v>10912</v>
      </c>
      <c r="AZ9" s="123">
        <f>IF(ISNUMBER(IF(J_V="SI",T9,T9+AH9)),IF(J_V="SI",T9,T9+AH9)," - ")</f>
        <v>3959</v>
      </c>
      <c r="BA9" s="124">
        <f>IF(ISNUMBER(IF(J_V="SI",U9,U9+AI9)),IF(J_V="SI",U9,U9+AI9)," - ")</f>
        <v>4281</v>
      </c>
      <c r="BB9" s="124">
        <f>IF(ISNUMBER(IF(J_V="SI",V9,V9+AJ9)),IF(J_V="SI",V9,V9+AJ9)," - ")</f>
        <v>10581</v>
      </c>
      <c r="BC9" s="125">
        <f>IF(ISNUMBER(X9),X9," - ")</f>
        <v>1358</v>
      </c>
      <c r="BD9" s="126">
        <f>IF(ISNUMBER(BA9/AZ9),BA9/AZ9," - ")</f>
        <v>1.0813336701187168</v>
      </c>
      <c r="BE9" s="127">
        <f>IF(ISNUMBER(BB9/BA9),BB9/BA9, " - ")</f>
        <v>2.4716187806587246</v>
      </c>
      <c r="BF9" s="127">
        <f>IF(ISNUMBER(BC9/BA9),BC9/BA9, " - ")</f>
        <v>0.31721560383088065</v>
      </c>
      <c r="BG9" s="196">
        <f>IF(ISNUMBER((AY9+AZ9)/BA9),(AY9+AZ9)/BA9," - ")</f>
        <v>3.4737210932025229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2</v>
      </c>
      <c r="K10" s="181">
        <v>3</v>
      </c>
      <c r="L10" s="181">
        <v>10</v>
      </c>
      <c r="M10" s="181">
        <v>0</v>
      </c>
      <c r="N10" s="181">
        <v>3</v>
      </c>
      <c r="O10" s="181">
        <v>0</v>
      </c>
      <c r="P10" s="181">
        <v>0</v>
      </c>
      <c r="Q10" s="181">
        <v>0</v>
      </c>
      <c r="R10" s="181">
        <v>65</v>
      </c>
      <c r="S10" s="181">
        <v>14</v>
      </c>
      <c r="T10" s="181">
        <v>7</v>
      </c>
      <c r="U10" s="181">
        <v>6</v>
      </c>
      <c r="V10" s="181">
        <v>15</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784</v>
      </c>
      <c r="AT10" s="192"/>
      <c r="AU10" s="200"/>
      <c r="AV10" s="192"/>
      <c r="AW10" s="200"/>
      <c r="AX10" s="192"/>
      <c r="AY10" s="128">
        <f t="shared" ref="AY10:BC10" si="0">IF(ISNUMBER(S10),S10," - ")</f>
        <v>14</v>
      </c>
      <c r="AZ10" s="129">
        <f t="shared" si="0"/>
        <v>7</v>
      </c>
      <c r="BA10" s="129">
        <f t="shared" si="0"/>
        <v>6</v>
      </c>
      <c r="BB10" s="129">
        <f t="shared" si="0"/>
        <v>15</v>
      </c>
      <c r="BC10" s="125">
        <f t="shared" si="0"/>
        <v>0</v>
      </c>
      <c r="BD10" s="126">
        <f>IF(ISNUMBER(BA10/AZ10),BA10/AZ10," - ")</f>
        <v>0.8571428571428571</v>
      </c>
      <c r="BE10" s="127">
        <f>IF(ISNUMBER(BB10/BA10),BB10/BA10, " - ")</f>
        <v>2.5</v>
      </c>
      <c r="BF10" s="127">
        <f>IF(ISNUMBER(BC10/BA10),BC10/BA10, " - ")</f>
        <v>0</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305</v>
      </c>
      <c r="J11" s="183">
        <v>373</v>
      </c>
      <c r="K11" s="183">
        <v>233</v>
      </c>
      <c r="L11" s="183">
        <v>445</v>
      </c>
      <c r="M11" s="183">
        <v>121</v>
      </c>
      <c r="N11" s="183">
        <v>84</v>
      </c>
      <c r="O11" s="181">
        <v>53</v>
      </c>
      <c r="P11" s="183">
        <v>0</v>
      </c>
      <c r="Q11" s="183">
        <v>0</v>
      </c>
      <c r="R11" s="183">
        <v>0</v>
      </c>
      <c r="S11" s="183">
        <v>0</v>
      </c>
      <c r="T11" s="183">
        <v>0</v>
      </c>
      <c r="U11" s="183">
        <v>0</v>
      </c>
      <c r="V11" s="183">
        <v>0</v>
      </c>
      <c r="W11" s="183">
        <v>0</v>
      </c>
      <c r="X11" s="189">
        <v>0</v>
      </c>
      <c r="Y11" s="191">
        <v>55</v>
      </c>
      <c r="Z11" s="181">
        <v>58</v>
      </c>
      <c r="AA11" s="181">
        <v>52</v>
      </c>
      <c r="AB11" s="181">
        <v>61</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8756</v>
      </c>
      <c r="J13" s="184">
        <f t="shared" si="6"/>
        <v>6607</v>
      </c>
      <c r="K13" s="184">
        <f t="shared" si="6"/>
        <v>4382</v>
      </c>
      <c r="L13" s="184">
        <f t="shared" si="6"/>
        <v>10981</v>
      </c>
      <c r="M13" s="184">
        <f t="shared" si="6"/>
        <v>1620</v>
      </c>
      <c r="N13" s="184">
        <f t="shared" si="6"/>
        <v>1792</v>
      </c>
      <c r="O13" s="184">
        <f t="shared" si="6"/>
        <v>1353</v>
      </c>
      <c r="P13" s="184">
        <f t="shared" si="6"/>
        <v>986</v>
      </c>
      <c r="Q13" s="184">
        <f t="shared" si="6"/>
        <v>724</v>
      </c>
      <c r="R13" s="184">
        <f t="shared" si="6"/>
        <v>12317</v>
      </c>
      <c r="S13" s="184">
        <f t="shared" si="6"/>
        <v>10755</v>
      </c>
      <c r="T13" s="184">
        <f t="shared" si="6"/>
        <v>3828</v>
      </c>
      <c r="U13" s="184">
        <f t="shared" si="6"/>
        <v>4141</v>
      </c>
      <c r="V13" s="184">
        <f t="shared" si="6"/>
        <v>10442</v>
      </c>
      <c r="W13" s="184">
        <f t="shared" si="6"/>
        <v>1723</v>
      </c>
      <c r="X13" s="184">
        <f t="shared" si="6"/>
        <v>1361</v>
      </c>
      <c r="Y13" s="184">
        <f t="shared" si="6"/>
        <v>168</v>
      </c>
      <c r="Z13" s="184">
        <f t="shared" si="6"/>
        <v>143</v>
      </c>
      <c r="AA13" s="184">
        <f t="shared" si="6"/>
        <v>151</v>
      </c>
      <c r="AB13" s="184">
        <f t="shared" si="6"/>
        <v>160</v>
      </c>
      <c r="AC13" s="184">
        <f t="shared" si="6"/>
        <v>0</v>
      </c>
      <c r="AD13" s="184">
        <f t="shared" si="6"/>
        <v>0</v>
      </c>
      <c r="AE13" s="184">
        <f t="shared" si="6"/>
        <v>0</v>
      </c>
      <c r="AF13" s="184">
        <f>SUBTOTAL(9,AF9:AF12)</f>
        <v>0</v>
      </c>
      <c r="AG13" s="184">
        <f t="shared" ref="AG13:AT13" si="7">SUBTOTAL(9,AG8:AG12)</f>
        <v>171</v>
      </c>
      <c r="AH13" s="184">
        <f t="shared" si="7"/>
        <v>138</v>
      </c>
      <c r="AI13" s="184">
        <f t="shared" si="7"/>
        <v>146</v>
      </c>
      <c r="AJ13" s="184">
        <f t="shared" si="7"/>
        <v>154</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10926</v>
      </c>
      <c r="AZ13" s="184">
        <f>SUBTOTAL(9,AZ8:AZ12)</f>
        <v>3966</v>
      </c>
      <c r="BA13" s="184">
        <f>SUBTOTAL(9,BA8:BA12)</f>
        <v>4287</v>
      </c>
      <c r="BB13" s="184">
        <f>SUBTOTAL(9,BB8:BB12)</f>
        <v>10596</v>
      </c>
      <c r="BC13" s="184">
        <f>SUBTOTAL(9,BC8:BC12)</f>
        <v>1358</v>
      </c>
      <c r="BD13" s="205">
        <f>IF(ISNUMBER(BA13/AZ13),BA13/AZ13," - ")</f>
        <v>1.0809379727685324</v>
      </c>
      <c r="BE13" s="206">
        <f>IF(ISNUMBER(BB13/BA13),BB13/BA13, " - ")</f>
        <v>2.4716585024492654</v>
      </c>
      <c r="BF13" s="206">
        <f>IF(ISNUMBER(BC13/BA13),BC13/BA13, " - ")</f>
        <v>0.31677163517611384</v>
      </c>
      <c r="BG13" s="207">
        <f>IF(ISNUMBER((AY13+AZ13)/BA13),(AY13+AZ13)/BA13," - ")</f>
        <v>3.4737578726382083</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1911</v>
      </c>
      <c r="J15" s="183">
        <v>3507</v>
      </c>
      <c r="K15" s="183">
        <v>3536</v>
      </c>
      <c r="L15" s="183">
        <v>1933</v>
      </c>
      <c r="M15" s="183">
        <v>550</v>
      </c>
      <c r="N15" s="183">
        <v>2308</v>
      </c>
      <c r="O15" s="181">
        <v>71</v>
      </c>
      <c r="P15" s="183">
        <v>120</v>
      </c>
      <c r="Q15" s="183">
        <v>126</v>
      </c>
      <c r="R15" s="183">
        <v>424</v>
      </c>
      <c r="S15" s="183">
        <v>2325</v>
      </c>
      <c r="T15" s="183">
        <v>3234</v>
      </c>
      <c r="U15" s="183">
        <v>3329</v>
      </c>
      <c r="V15" s="183">
        <v>2288</v>
      </c>
      <c r="W15" s="183">
        <v>574</v>
      </c>
      <c r="X15" s="189">
        <v>1941</v>
      </c>
      <c r="Y15" s="202">
        <v>0</v>
      </c>
      <c r="Z15" s="183">
        <v>0</v>
      </c>
      <c r="AA15" s="183">
        <v>0</v>
      </c>
      <c r="AB15" s="183">
        <v>0</v>
      </c>
      <c r="AC15" s="183">
        <v>0</v>
      </c>
      <c r="AD15" s="183">
        <v>4</v>
      </c>
      <c r="AE15" s="183">
        <v>4</v>
      </c>
      <c r="AF15" s="189">
        <v>0</v>
      </c>
      <c r="AG15" s="202">
        <v>0</v>
      </c>
      <c r="AH15" s="183">
        <v>0</v>
      </c>
      <c r="AI15" s="183">
        <v>0</v>
      </c>
      <c r="AJ15" s="203">
        <v>0</v>
      </c>
      <c r="AK15" s="182">
        <v>0</v>
      </c>
      <c r="AL15" s="183">
        <v>4</v>
      </c>
      <c r="AM15" s="183">
        <v>4</v>
      </c>
      <c r="AN15" s="189">
        <v>0</v>
      </c>
      <c r="AO15" s="259">
        <v>4</v>
      </c>
      <c r="AP15" s="155">
        <v>4</v>
      </c>
      <c r="AQ15" s="155">
        <v>4</v>
      </c>
      <c r="AR15" s="155">
        <v>4</v>
      </c>
      <c r="AS15" s="340" t="s">
        <v>518</v>
      </c>
      <c r="AT15" s="203" t="s">
        <v>326</v>
      </c>
      <c r="AU15" s="202"/>
      <c r="AV15" s="203"/>
      <c r="AW15" s="202"/>
      <c r="AX15" s="203"/>
      <c r="AY15" s="128">
        <f t="shared" ref="AY15:BB16" si="9">IF(ISNUMBER(IF(D_I="SI",S15,S15+AK15)),IF(D_I="SI",S15,S15+AK15)," - ")</f>
        <v>2325</v>
      </c>
      <c r="AZ15" s="129">
        <f t="shared" si="9"/>
        <v>3234</v>
      </c>
      <c r="BA15" s="129">
        <f t="shared" si="9"/>
        <v>3329</v>
      </c>
      <c r="BB15" s="129">
        <f t="shared" si="9"/>
        <v>2288</v>
      </c>
      <c r="BC15" s="125">
        <f>IF(ISNUMBER(W15),W15," - ")</f>
        <v>574</v>
      </c>
      <c r="BD15" s="126">
        <f>IF(ISNUMBER(BA15/AZ15),BA15/AZ15," - ")</f>
        <v>1.0293753865182436</v>
      </c>
      <c r="BE15" s="127">
        <f>IF(ISNUMBER(BB15/BA15),BB15/BA15, " - ")</f>
        <v>0.6872934815259838</v>
      </c>
      <c r="BF15" s="127">
        <f>IF(ISNUMBER(BC15/BA15),BC15/BA15, " - ")</f>
        <v>0.17242415139681586</v>
      </c>
      <c r="BG15" s="196">
        <f t="shared" ref="BG15:BG16" si="10">IF(ISNUMBER((AY15+AZ15)/BA15),(AY15+AZ15)/BA15," - ")</f>
        <v>1.6698708320817062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v>
      </c>
      <c r="J16" s="183">
        <v>0</v>
      </c>
      <c r="K16" s="183">
        <v>0</v>
      </c>
      <c r="L16" s="183">
        <v>9</v>
      </c>
      <c r="M16" s="183">
        <v>0</v>
      </c>
      <c r="N16" s="183">
        <v>0</v>
      </c>
      <c r="O16" s="181">
        <v>0</v>
      </c>
      <c r="P16" s="183">
        <v>0</v>
      </c>
      <c r="Q16" s="183">
        <v>0</v>
      </c>
      <c r="R16" s="183">
        <v>0</v>
      </c>
      <c r="S16" s="183">
        <v>10</v>
      </c>
      <c r="T16" s="183">
        <v>0</v>
      </c>
      <c r="U16" s="183">
        <v>0</v>
      </c>
      <c r="V16" s="183">
        <v>10</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10</v>
      </c>
      <c r="AZ16" s="127">
        <f t="shared" si="9"/>
        <v>0</v>
      </c>
      <c r="BA16" s="127">
        <f t="shared" si="9"/>
        <v>0</v>
      </c>
      <c r="BB16" s="127">
        <f t="shared" si="9"/>
        <v>10</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0</v>
      </c>
      <c r="K17" s="183">
        <v>16</v>
      </c>
      <c r="L17" s="183">
        <v>3</v>
      </c>
      <c r="M17" s="183">
        <v>0</v>
      </c>
      <c r="N17" s="183">
        <v>6</v>
      </c>
      <c r="O17" s="183">
        <v>0</v>
      </c>
      <c r="P17" s="183">
        <v>0</v>
      </c>
      <c r="Q17" s="183">
        <v>1</v>
      </c>
      <c r="R17" s="183">
        <v>0</v>
      </c>
      <c r="S17" s="183">
        <v>36</v>
      </c>
      <c r="T17" s="183">
        <v>2</v>
      </c>
      <c r="U17" s="183">
        <v>6</v>
      </c>
      <c r="V17" s="183">
        <v>32</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783</v>
      </c>
      <c r="AT17" s="209"/>
      <c r="AU17" s="200"/>
      <c r="AV17" s="209"/>
      <c r="AW17" s="200"/>
      <c r="AX17" s="209"/>
      <c r="AY17" s="128">
        <f t="shared" ref="AY17:BB17" si="14">IF(ISNUMBER(S17),S17," - ")</f>
        <v>36</v>
      </c>
      <c r="AZ17" s="129">
        <f t="shared" si="14"/>
        <v>2</v>
      </c>
      <c r="BA17" s="129">
        <f t="shared" si="14"/>
        <v>6</v>
      </c>
      <c r="BB17" s="129">
        <f t="shared" si="14"/>
        <v>32</v>
      </c>
      <c r="BC17" s="125">
        <f>IF(ISNUMBER(W17),W17," - ")</f>
        <v>0</v>
      </c>
      <c r="BD17" s="126">
        <f>IF(ISNUMBER(BA17/AZ17),BA17/AZ17," - ")</f>
        <v>3</v>
      </c>
      <c r="BE17" s="127">
        <f>IF(ISNUMBER(BB17/BA17),BB17/BA17, " - ")</f>
        <v>5.333333333333333</v>
      </c>
      <c r="BF17" s="127">
        <f>IF(ISNUMBER(BC17/BA17),BC17/BA17, " - ")</f>
        <v>0</v>
      </c>
      <c r="BG17" s="196">
        <f>IF(ISNUMBER((AY17+AZ17)/BA17),(AY17+AZ17)/BA17," - ")</f>
        <v>6.333333333333333</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1940</v>
      </c>
      <c r="J18" s="184">
        <f t="shared" si="15"/>
        <v>3507</v>
      </c>
      <c r="K18" s="184">
        <f t="shared" si="15"/>
        <v>3552</v>
      </c>
      <c r="L18" s="184">
        <f t="shared" si="15"/>
        <v>1945</v>
      </c>
      <c r="M18" s="184">
        <f t="shared" si="15"/>
        <v>550</v>
      </c>
      <c r="N18" s="184">
        <f t="shared" si="15"/>
        <v>2314</v>
      </c>
      <c r="O18" s="184">
        <f t="shared" si="15"/>
        <v>71</v>
      </c>
      <c r="P18" s="184">
        <f t="shared" si="15"/>
        <v>120</v>
      </c>
      <c r="Q18" s="184">
        <f t="shared" si="15"/>
        <v>127</v>
      </c>
      <c r="R18" s="184">
        <f t="shared" si="15"/>
        <v>424</v>
      </c>
      <c r="S18" s="184">
        <f t="shared" si="15"/>
        <v>2371</v>
      </c>
      <c r="T18" s="184">
        <f t="shared" si="15"/>
        <v>3236</v>
      </c>
      <c r="U18" s="184">
        <f t="shared" si="15"/>
        <v>3335</v>
      </c>
      <c r="V18" s="184">
        <f t="shared" si="15"/>
        <v>2330</v>
      </c>
      <c r="W18" s="184">
        <f t="shared" si="15"/>
        <v>574</v>
      </c>
      <c r="X18" s="184">
        <f t="shared" si="15"/>
        <v>1942</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2371</v>
      </c>
      <c r="AZ18" s="184">
        <f>SUBTOTAL(9,AZ14:AZ17)</f>
        <v>3236</v>
      </c>
      <c r="BA18" s="184">
        <f>SUBTOTAL(9,BA14:BA17)</f>
        <v>3335</v>
      </c>
      <c r="BB18" s="184">
        <f>SUBTOTAL(9,BB14:BB17)</f>
        <v>2330</v>
      </c>
      <c r="BC18" s="184">
        <f>SUBTOTAL(9,BC14:BC17)</f>
        <v>574</v>
      </c>
      <c r="BD18" s="205">
        <f>IF(ISNUMBER(BA18/AZ18),BA18/AZ18," - ")</f>
        <v>1.0305933250927071</v>
      </c>
      <c r="BE18" s="206">
        <f>IF(ISNUMBER(BB18/BA18),BB18/BA18, " - ")</f>
        <v>0.69865067466266861</v>
      </c>
      <c r="BF18" s="206">
        <f>IF(ISNUMBER(BC18/BA18),BC18/BA18, " - ")</f>
        <v>0.17211394302848576</v>
      </c>
      <c r="BG18" s="207">
        <f>IF(ISNUMBER((AY18+AZ18)/BA18),(AY18+AZ18)/BA18," - ")</f>
        <v>1.6812593703148426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10696</v>
      </c>
      <c r="J19" s="134">
        <f t="shared" si="18"/>
        <v>10114</v>
      </c>
      <c r="K19" s="134">
        <f t="shared" si="18"/>
        <v>7934</v>
      </c>
      <c r="L19" s="134">
        <f t="shared" si="18"/>
        <v>12926</v>
      </c>
      <c r="M19" s="134">
        <f t="shared" si="18"/>
        <v>2170</v>
      </c>
      <c r="N19" s="134">
        <f t="shared" si="18"/>
        <v>4106</v>
      </c>
      <c r="O19" s="134">
        <f t="shared" si="18"/>
        <v>1424</v>
      </c>
      <c r="P19" s="134">
        <f t="shared" si="18"/>
        <v>1106</v>
      </c>
      <c r="Q19" s="134">
        <f t="shared" si="18"/>
        <v>851</v>
      </c>
      <c r="R19" s="134">
        <f t="shared" si="18"/>
        <v>12741</v>
      </c>
      <c r="S19" s="134">
        <f t="shared" si="18"/>
        <v>13126</v>
      </c>
      <c r="T19" s="134">
        <f t="shared" si="18"/>
        <v>7064</v>
      </c>
      <c r="U19" s="134">
        <f t="shared" si="18"/>
        <v>7476</v>
      </c>
      <c r="V19" s="134">
        <f t="shared" si="18"/>
        <v>12772</v>
      </c>
      <c r="W19" s="134">
        <f t="shared" si="18"/>
        <v>2297</v>
      </c>
      <c r="X19" s="134">
        <f t="shared" si="18"/>
        <v>3303</v>
      </c>
      <c r="Y19" s="134">
        <f t="shared" si="18"/>
        <v>168</v>
      </c>
      <c r="Z19" s="134">
        <f t="shared" si="18"/>
        <v>143</v>
      </c>
      <c r="AA19" s="134">
        <f t="shared" si="18"/>
        <v>151</v>
      </c>
      <c r="AB19" s="134">
        <f t="shared" si="18"/>
        <v>160</v>
      </c>
      <c r="AC19" s="134">
        <f t="shared" si="18"/>
        <v>0</v>
      </c>
      <c r="AD19" s="134">
        <f t="shared" si="18"/>
        <v>4</v>
      </c>
      <c r="AE19" s="134">
        <f t="shared" si="18"/>
        <v>4</v>
      </c>
      <c r="AF19" s="134">
        <f t="shared" si="18"/>
        <v>0</v>
      </c>
      <c r="AG19" s="134">
        <f t="shared" si="18"/>
        <v>171</v>
      </c>
      <c r="AH19" s="134">
        <f t="shared" si="18"/>
        <v>138</v>
      </c>
      <c r="AI19" s="134">
        <f t="shared" si="18"/>
        <v>146</v>
      </c>
      <c r="AJ19" s="134">
        <f t="shared" si="18"/>
        <v>154</v>
      </c>
      <c r="AK19" s="134">
        <f t="shared" si="18"/>
        <v>0</v>
      </c>
      <c r="AL19" s="134">
        <f t="shared" si="18"/>
        <v>4</v>
      </c>
      <c r="AM19" s="134">
        <f t="shared" si="18"/>
        <v>4</v>
      </c>
      <c r="AN19" s="210">
        <f t="shared" si="18"/>
        <v>0</v>
      </c>
      <c r="AO19" s="211">
        <v>13</v>
      </c>
      <c r="AP19" s="211">
        <v>12</v>
      </c>
      <c r="AQ19" s="211">
        <v>12</v>
      </c>
      <c r="AR19" s="211">
        <v>12</v>
      </c>
      <c r="AS19" s="153">
        <f t="shared" si="18"/>
        <v>0</v>
      </c>
      <c r="AT19" s="153">
        <f t="shared" si="18"/>
        <v>0</v>
      </c>
      <c r="AU19" s="211"/>
      <c r="AV19" s="212"/>
      <c r="AW19" s="211"/>
      <c r="AX19" s="212"/>
      <c r="AY19" s="133">
        <f>SUBTOTAL(9,AY9:AY18)</f>
        <v>13297</v>
      </c>
      <c r="AZ19" s="134">
        <f>SUBTOTAL(9,AZ9:AZ18)</f>
        <v>7202</v>
      </c>
      <c r="BA19" s="134">
        <f>SUBTOTAL(9,BA9:BA18)</f>
        <v>7622</v>
      </c>
      <c r="BB19" s="134">
        <f>SUBTOTAL(9,BB9:BB18)</f>
        <v>12926</v>
      </c>
      <c r="BC19" s="135">
        <f>SUBTOTAL(9,BC9:BC18)</f>
        <v>1932</v>
      </c>
      <c r="BD19" s="213">
        <f>IF(ISNUMBER(BA19/AZ19),BA19/AZ19," - ")</f>
        <v>1.0583171341294084</v>
      </c>
      <c r="BE19" s="210">
        <f>IF(ISNUMBER(BB19/BA19),BB19/BA19, " - ")</f>
        <v>1.6958803463657832</v>
      </c>
      <c r="BF19" s="210">
        <f>IF(ISNUMBER(BC19/BA19),BC19/BA19, " - ")</f>
        <v>0.25347677774862243</v>
      </c>
      <c r="BG19" s="135">
        <f>IF(ISNUMBER((AY19+AZ19)/BA19),(AY19+AZ19)/BA19," - ")</f>
        <v>2.6894515875098399</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Y8m803zZarmm+gre/IHfFTN01MWopWmvD9WMH/cONgutscz5n0uCQLnh08je+PblmjfM5tRomerkX3PBgN6w==" saltValue="mdbuZNReE4VoRKP+8Cue3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Fra9HGkgtRwVxlc4jT+YaI80uNiB0O5pIwT5zQr6nMMp1XId+gNVqVE4+eE/kXcPYuto8Ap05HDRi/At0aYg==" saltValue="LtIc7dlMX12TKtoxBUmmf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85</v>
      </c>
      <c r="O9" s="334"/>
      <c r="P9" s="334"/>
      <c r="Q9" s="226">
        <f>IF(ISNUMBER(Datos!P9),Datos!P9,0)</f>
        <v>986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99</v>
      </c>
      <c r="AI9" s="334" t="str">
        <f>IF(ISNUMBER(Datos!CD9),Datos!CD9,"-")</f>
        <v>-</v>
      </c>
      <c r="AJ9" s="334" t="str">
        <f>IF(ISNUMBER(Datos!EN9),Datos!EN9," - ")</f>
        <v xml:space="preserve"> - </v>
      </c>
      <c r="AK9" s="334"/>
      <c r="AL9" s="479"/>
      <c r="AM9" s="335">
        <f>IF(ISNUMBER(Datos!R9),Datos!R9," - ")</f>
        <v>12252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1499</v>
      </c>
      <c r="BD9" s="229">
        <f>IF(ISNUMBER(Datos!N9),Datos!N9," - ")</f>
        <v>1705</v>
      </c>
      <c r="BE9" s="229" t="str">
        <f>IF(ISNUMBER(Datos!BW9),Datos!BW9," - ")</f>
        <v xml:space="preserve"> - </v>
      </c>
      <c r="BF9" s="228" t="str">
        <f>IF(ISNUMBER(Datos!BX9),Datos!BX9," - ")</f>
        <v xml:space="preserve"> - </v>
      </c>
      <c r="BG9" s="243">
        <f>IF(ISNUMBER(IF(J_V="SI",Datos!K9/Datos!J9,(Datos!K9+Datos!AA9)/(Datos!J9+Datos!Z9))),IF(J_V="SI",Datos!K9/Datos!J9,(Datos!K9+Datos!AA9)/(Datos!J9+Datos!Z9))," - ")</f>
        <v>0.67199620072819377</v>
      </c>
      <c r="BH9" s="260">
        <f>IF(ISNUMBER(((IF(J_V="SI",Datos!L9/Datos!K9,(Datos!L9+Datos!AB9)/(Datos!K9+Datos!AA9)))*11)/factor_trimestre),((IF(J_V="SI",Datos!L9/Datos!K9,(Datos!L9+Datos!AB9)/(Datos!K9+Datos!AA9)))*11)/factor_trimestre," - ")</f>
        <v>7.5088339222614842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2.1851542952460383E-2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10</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10.000000000000002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58</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61</v>
      </c>
      <c r="AI11" s="334"/>
      <c r="AJ11" s="334"/>
      <c r="AK11" s="334"/>
      <c r="AL11" s="479"/>
      <c r="AM11" s="335">
        <f>IF(ISNUMBER(Datos!R11),Datos!R11," - ")</f>
        <v>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121</v>
      </c>
      <c r="BD11" s="229">
        <f>IF(ISNUMBER(Datos!N11),Datos!N11," - ")</f>
        <v>84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0.66125290023201855</v>
      </c>
      <c r="BH11" s="260">
        <f>IF(ISNUMBER(((IF(J_V="SI",Datos!L11/Datos!K11,(Datos!L11+Datos!AB11)/(Datos!K11+Datos!AA11)))*11)/factor_trimestre),((IF(J_V="SI",Datos!L11/Datos!K11,(Datos!L11+Datos!AB11)/(Datos!K11+Datos!AA11)))*11)/factor_trimestre," - ")</f>
        <v>5.3263157894736839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143</v>
      </c>
      <c r="O13" s="900">
        <f t="shared" si="0"/>
        <v>0</v>
      </c>
      <c r="P13" s="900">
        <f t="shared" si="0"/>
        <v>0</v>
      </c>
      <c r="Q13" s="899">
        <f t="shared" si="0"/>
        <v>986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724</v>
      </c>
      <c r="AD13" s="899">
        <f t="shared" si="1"/>
        <v>0</v>
      </c>
      <c r="AE13" s="899">
        <f t="shared" si="1"/>
        <v>0</v>
      </c>
      <c r="AF13" s="899">
        <f t="shared" si="1"/>
        <v>10</v>
      </c>
      <c r="AG13" s="899">
        <f t="shared" si="1"/>
        <v>0</v>
      </c>
      <c r="AH13" s="899">
        <f t="shared" si="1"/>
        <v>160</v>
      </c>
      <c r="AI13" s="899">
        <f t="shared" si="1"/>
        <v>0</v>
      </c>
      <c r="AJ13" s="899">
        <f t="shared" si="1"/>
        <v>0</v>
      </c>
      <c r="AK13" s="899">
        <f t="shared" si="1"/>
        <v>0</v>
      </c>
      <c r="AL13" s="899">
        <f t="shared" si="1"/>
        <v>0</v>
      </c>
      <c r="AM13" s="899">
        <f t="shared" si="1"/>
        <v>12317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1620</v>
      </c>
      <c r="BD13" s="899">
        <f t="shared" si="1"/>
        <v>1792</v>
      </c>
      <c r="BE13" s="899">
        <f t="shared" si="1"/>
        <v>0</v>
      </c>
      <c r="BF13" s="899">
        <f t="shared" si="1"/>
        <v>0</v>
      </c>
      <c r="BG13" s="899">
        <f>IF(ISNUMBER(Datos!K13/Datos!J13),Datos!K13/Datos!J13," - ")</f>
        <v>0.66323596185863476</v>
      </c>
      <c r="BH13" s="903">
        <f>IF(ISNUMBER(((Datos!L13/Datos!K13)*11)/factor_trimestre),((Datos!L13/Datos!K13)*11)/factor_trimestre," - ")</f>
        <v>7.5178000912825205</v>
      </c>
      <c r="BI13" s="899">
        <f>IF(ISNUMBER('Resol  Asuntos'!D13/NºAsuntos!G13),'Resol  Asuntos'!D13/NºAsuntos!G13," - ")</f>
        <v>0.35737921906022502</v>
      </c>
      <c r="BJ13" s="899" t="str">
        <f>IF(ISNUMBER(Datos!CI13/Datos!CJ13),Datos!CI13/Datos!CJ13," - ")</f>
        <v xml:space="preserve"> - </v>
      </c>
      <c r="BK13" s="899">
        <f>SUBTOTAL(9,BK8:BK12)</f>
        <v>0</v>
      </c>
      <c r="BL13" s="899">
        <f>IF(ISNUMBER((I13-AB13+L13)/(F13)),(I13-AB13+L13)/(F13)," - ")</f>
        <v>-0.27272727272727271</v>
      </c>
      <c r="BM13" s="904">
        <f>SUBTOTAL(9,BM9:BM12)</f>
        <v>2.1851542952460383E-2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1962</v>
      </c>
      <c r="G15" s="598">
        <f>IF(ISNUMBER(IF(D_I="SI",Datos!I15,Datos!I15+Datos!AC15)),IF(D_I="SI",Datos!I15,Datos!I15+Datos!AC15)," - ")</f>
        <v>1911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3536</v>
      </c>
      <c r="AC15" s="226">
        <f>IF(ISNUMBER(Datos!Q15),Datos!Q15," - ")</f>
        <v>126</v>
      </c>
      <c r="AD15" s="334"/>
      <c r="AE15" s="484"/>
      <c r="AF15" s="596">
        <f>IF(ISNUMBER(IF(D_I="SI",Datos!L15,Datos!L15+Datos!AF15)),IF(D_I="SI",Datos!L15,Datos!L15+Datos!AF15)," - ")</f>
        <v>1933</v>
      </c>
      <c r="AG15" s="334"/>
      <c r="AH15" s="334"/>
      <c r="AI15" s="334"/>
      <c r="AJ15" s="334"/>
      <c r="AK15" s="334"/>
      <c r="AL15" s="479"/>
      <c r="AM15" s="335">
        <f>IF(ISNUMBER(Datos!R15),Datos!R15," - ")</f>
        <v>424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550</v>
      </c>
      <c r="BD15" s="229">
        <f>IF(ISNUMBER(Datos!N15),Datos!N15," - ")</f>
        <v>2308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1.0082691759338467</v>
      </c>
      <c r="BH15" s="260">
        <f>IF(ISNUMBER(((IF(D_I="SI",Datos!L15/Datos!K15,(Datos!L15+Datos!AF15)/(Datos!K15+Datos!AE15)))*11)/factor_trimestre),((IF(D_I="SI",Datos!L15/Datos!K15,(Datos!L15+Datos!AF15)/(Datos!K15+Datos!AE15)))*11)/factor_trimestre," - ")</f>
        <v>1.6399886877828054</v>
      </c>
      <c r="BI15" s="243">
        <f>IF(ISNUMBER('Resol  Asuntos'!D15/NºAsuntos!G15),'Resol  Asuntos'!D15/NºAsuntos!G15," - ")</f>
        <v>0.15554298642533937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9</v>
      </c>
      <c r="G16" s="598">
        <f>IF(ISNUMBER(IF(D_I="SI",Datos!I16,Datos!I16+Datos!AC16)),IF(D_I="SI",Datos!I16,Datos!I16+Datos!AC16)," - ")</f>
        <v>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9</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1</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0.5625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1971</v>
      </c>
      <c r="G18" s="898">
        <f>SUBTOTAL(9,G15:G17)</f>
        <v>1940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3552</v>
      </c>
      <c r="AC18" s="899">
        <f t="shared" si="4"/>
        <v>127</v>
      </c>
      <c r="AD18" s="899">
        <f t="shared" si="4"/>
        <v>0</v>
      </c>
      <c r="AE18" s="899">
        <f t="shared" si="4"/>
        <v>0</v>
      </c>
      <c r="AF18" s="899">
        <f t="shared" si="4"/>
        <v>1945</v>
      </c>
      <c r="AG18" s="899">
        <f t="shared" si="4"/>
        <v>0</v>
      </c>
      <c r="AH18" s="899">
        <f t="shared" si="4"/>
        <v>0</v>
      </c>
      <c r="AI18" s="899">
        <f t="shared" si="4"/>
        <v>0</v>
      </c>
      <c r="AJ18" s="899">
        <f t="shared" si="4"/>
        <v>0</v>
      </c>
      <c r="AK18" s="899">
        <f t="shared" si="4"/>
        <v>0</v>
      </c>
      <c r="AL18" s="899">
        <f t="shared" si="4"/>
        <v>0</v>
      </c>
      <c r="AM18" s="899">
        <f t="shared" si="4"/>
        <v>424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550</v>
      </c>
      <c r="BD18" s="899">
        <f t="shared" si="4"/>
        <v>2314</v>
      </c>
      <c r="BE18" s="899">
        <f t="shared" si="4"/>
        <v>0</v>
      </c>
      <c r="BF18" s="899">
        <f t="shared" si="4"/>
        <v>0</v>
      </c>
      <c r="BG18" s="899">
        <f>IF(ISNUMBER(Datos!K18/Datos!J18),Datos!K18/Datos!J18," - ")</f>
        <v>1.0128314798973481</v>
      </c>
      <c r="BH18" s="903">
        <f>IF(ISNUMBER(((Datos!L18/Datos!K18)*11)/factor_trimestre),((Datos!L18/Datos!K18)*11)/factor_trimestre," - ")</f>
        <v>1.6427364864864864</v>
      </c>
      <c r="BI18" s="899">
        <f>SUBTOTAL(9,BI15:BI17)</f>
        <v>0.15554298642533937</v>
      </c>
      <c r="BJ18" s="899">
        <f>SUBTOTAL(9,BJ15:BJ17)</f>
        <v>0</v>
      </c>
      <c r="BK18" s="899">
        <f>SUBTOTAL(9,BK15:BK17)</f>
        <v>0</v>
      </c>
      <c r="BL18" s="899">
        <f>IF(ISNUMBER((I18-AB18+L18)/(F18)),(I18-AB18+L18)/(F18)," - ")</f>
        <v>-1.8021308980213089</v>
      </c>
      <c r="BM18" s="905">
        <f>IF(ISNUMBER((Datos!P18-Datos!Q18)/(Datos!R18-Datos!P18+Datos!Q18)),(Datos!P18-Datos!Q18)/(Datos!R18-Datos!P18+Datos!Q18)," - ")</f>
        <v>-1.6241299303944315E-2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1982</v>
      </c>
      <c r="G19" s="820">
        <f t="shared" si="6"/>
        <v>1951</v>
      </c>
      <c r="H19" s="822">
        <f t="shared" si="6"/>
        <v>0</v>
      </c>
      <c r="I19" s="820">
        <f t="shared" si="6"/>
        <v>0</v>
      </c>
      <c r="J19" s="822">
        <f t="shared" si="6"/>
        <v>0</v>
      </c>
      <c r="K19" s="822">
        <f t="shared" si="6"/>
        <v>0</v>
      </c>
      <c r="L19" s="881">
        <f t="shared" si="6"/>
        <v>0</v>
      </c>
      <c r="M19" s="881">
        <f t="shared" si="6"/>
        <v>0</v>
      </c>
      <c r="N19" s="881">
        <f t="shared" si="6"/>
        <v>143</v>
      </c>
      <c r="O19" s="881">
        <f t="shared" si="6"/>
        <v>0</v>
      </c>
      <c r="P19" s="881">
        <f t="shared" si="6"/>
        <v>0</v>
      </c>
      <c r="Q19" s="822">
        <f t="shared" si="6"/>
        <v>1106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3555</v>
      </c>
      <c r="AC19" s="821">
        <f t="shared" si="7"/>
        <v>851</v>
      </c>
      <c r="AD19" s="821">
        <f t="shared" si="7"/>
        <v>0</v>
      </c>
      <c r="AE19" s="821">
        <f t="shared" si="7"/>
        <v>0</v>
      </c>
      <c r="AF19" s="828">
        <f t="shared" si="7"/>
        <v>1955</v>
      </c>
      <c r="AG19" s="828">
        <f t="shared" si="7"/>
        <v>0</v>
      </c>
      <c r="AH19" s="828">
        <f t="shared" si="7"/>
        <v>160</v>
      </c>
      <c r="AI19" s="828">
        <f t="shared" si="7"/>
        <v>0</v>
      </c>
      <c r="AJ19" s="821">
        <f t="shared" si="7"/>
        <v>0</v>
      </c>
      <c r="AK19" s="828">
        <f t="shared" si="7"/>
        <v>0</v>
      </c>
      <c r="AL19" s="828">
        <f t="shared" si="7"/>
        <v>0</v>
      </c>
      <c r="AM19" s="828">
        <f t="shared" si="7"/>
        <v>12741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2170</v>
      </c>
      <c r="BD19" s="820">
        <f t="shared" si="7"/>
        <v>4106</v>
      </c>
      <c r="BE19" s="820">
        <f t="shared" si="7"/>
        <v>0</v>
      </c>
      <c r="BF19" s="830">
        <f t="shared" si="7"/>
        <v>0</v>
      </c>
      <c r="BG19" s="915">
        <f>IF(ISNUMBER(Datos!K19/Datos!J19),Datos!K19/Datos!J19," - ")</f>
        <v>0.78445718805615983</v>
      </c>
      <c r="BH19" s="915">
        <f>IF(ISNUMBER(((Datos!L19/Datos!K19)*11)/factor_trimestre),((Datos!L19/Datos!K19)*11)/factor_trimestre," - ")</f>
        <v>4.8875724729014367</v>
      </c>
      <c r="BI19" s="813">
        <f>IF(ISNUMBER(Datos!J19/Datos!I19),Datos!J19/Datos!I19," - ")</f>
        <v>0.94558713537771133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-1.7936427850655903</v>
      </c>
      <c r="BM19" s="889">
        <f>IF(ISNUMBER((Datos!P19-Datos!Q19+R19)/(Datos!R19-Datos!P19+Datos!Q19-R19)),(Datos!P19-Datos!Q19+R19)/(Datos!R19-Datos!P19+Datos!Q19-R19)," - ")</f>
        <v>2.0422873618452669E-2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650.33333333333337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3.2015621187164243</v>
      </c>
      <c r="F21" s="551">
        <f>IF(ISNUMBER(STDEV(F8:F18)),STDEV(F8:F18),"-")</f>
        <v>1071.4416456345161</v>
      </c>
      <c r="G21" s="552">
        <f>IF(ISNUMBER(STDEV(G8:G18)),STDEV(G8:G18),"-")</f>
        <v>987.78776397901731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1827.2889207785395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669.39119461535449</v>
      </c>
      <c r="BD21" s="551"/>
      <c r="BE21" s="551">
        <f>IF(ISNUMBER(STDEV(BE8:BE18)),STDEV(BE8:BE18),"-")</f>
        <v>0</v>
      </c>
      <c r="BF21" s="556">
        <f>IF(ISNUMBER(STDEV(BF8:BF18)),STDEV(BF8:BF18),"-")</f>
        <v>0</v>
      </c>
      <c r="BG21" s="775">
        <f>IF(ISNUMBER(STDEV(BG8:BG18)),STDEV(BG8:BG18),"-")</f>
        <v>0.33081471460476286</v>
      </c>
      <c r="BH21" s="776">
        <f>IF(ISNUMBER(STDEV(BH8:BH18)),STDEV(BH8:BH18),"-")</f>
        <v>3.6492122738045811</v>
      </c>
      <c r="BI21" s="249">
        <f>IF(ISNUMBER(STDEV(BI8:BI18)),STDEV(BI8:BI18),"-")</f>
        <v>0.14651020359142514</v>
      </c>
      <c r="BJ21" s="230" t="str">
        <f>IF(ISNUMBER(BL21/BM21),BL21/BM21," - ")</f>
        <v xml:space="preserve"> - </v>
      </c>
      <c r="BK21" s="575"/>
      <c r="BL21" s="559">
        <f>IF(ISNUMBER(STDEV(BL8:BL18)),STDEV(BL8:BL18),"-")</f>
        <v>1.0814516746167027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22eOTbwE4Wsmcimc5WwHmz0V7c5BmEWUdf/4GAgDB6a4xxmCVEBljAGrG1l+ZkjIqs/ae4l1rSS37o7+u62A==" saltValue="kwzGoVGEEskmvxMSri8Fu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CRISTOBAL DE LA 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986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724</v>
      </c>
      <c r="AA9" s="332" t="str">
        <f>IF(ISNUMBER(IF(J_V="SI",Datos!L9,Datos!L9+Datos!AB9)-IF(Monitorios="SI",Datos!CD9,0)),
                          IF(J_V="SI",Datos!L9,Datos!L9+Datos!AB9)-IF(Monitorios="SI",Datos!CD9,0),
                          " - ")</f>
        <v xml:space="preserve"> - </v>
      </c>
      <c r="AB9" s="334"/>
      <c r="AC9" s="334"/>
      <c r="AD9" s="484"/>
      <c r="AE9" s="484">
        <f>IF(ISNUMBER(Datos!R9),Datos!R9," - ")</f>
        <v>12252</v>
      </c>
      <c r="AF9" s="229" t="str">
        <f>IF(ISNUMBER(Datos!BV9),Datos!BV9," - ")</f>
        <v xml:space="preserve"> - </v>
      </c>
      <c r="AG9" s="225" t="str">
        <f>IF(ISNUMBER(Datos!DV9),Datos!DV9," - ")</f>
        <v xml:space="preserve"> - </v>
      </c>
      <c r="AH9" s="298"/>
      <c r="AI9" s="227"/>
      <c r="AJ9" s="225">
        <f>IF(ISNUMBER(Datos!M9),Datos!M9," - ")</f>
        <v>1499</v>
      </c>
      <c r="AK9" s="229">
        <f>IF(ISNUMBER(Datos!N9),Datos!N9," - ")</f>
        <v>1705</v>
      </c>
      <c r="AL9" s="229" t="str">
        <f>IF(ISNUMBER(Datos!BW9),Datos!BW9," - ")</f>
        <v xml:space="preserve"> - </v>
      </c>
      <c r="AM9" s="228" t="str">
        <f>IF(ISNUMBER(Datos!BX9),Datos!BX9," - ")</f>
        <v xml:space="preserve"> - </v>
      </c>
      <c r="AN9" s="243"/>
      <c r="AO9" s="260">
        <f>IF(ISNUMBER(((NºAsuntos!I9/NºAsuntos!G9)*11)/factor_trimestre),((NºAsuntos!I9/NºAsuntos!G9)*11)/factor_trimestre," - ")</f>
        <v>7.5088339222614842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2.1851542952460383E-2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10</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0</v>
      </c>
      <c r="AF11" s="229" t="str">
        <f>IF(ISNUMBER(Datos!BV11),Datos!BV11," - ")</f>
        <v xml:space="preserve"> - </v>
      </c>
      <c r="AG11" s="225" t="str">
        <f>IF(ISNUMBER(Datos!DV11),Datos!DV11," - ")</f>
        <v xml:space="preserve"> - </v>
      </c>
      <c r="AH11" s="298"/>
      <c r="AI11" s="227"/>
      <c r="AJ11" s="225">
        <f>IF(ISNUMBER(Datos!M11),Datos!M11," - ")</f>
        <v>121</v>
      </c>
      <c r="AK11" s="229">
        <f>IF(ISNUMBER(Datos!N11),Datos!N11," - ")</f>
        <v>84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5.3263157894736839</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986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724</v>
      </c>
      <c r="AA13" s="900">
        <f t="shared" si="2"/>
        <v>10</v>
      </c>
      <c r="AB13" s="900">
        <f t="shared" si="2"/>
        <v>0</v>
      </c>
      <c r="AC13" s="900">
        <f t="shared" si="2"/>
        <v>0</v>
      </c>
      <c r="AD13" s="900">
        <f t="shared" si="2"/>
        <v>0</v>
      </c>
      <c r="AE13" s="900">
        <f t="shared" si="2"/>
        <v>12317</v>
      </c>
      <c r="AF13" s="908">
        <f t="shared" si="2"/>
        <v>0</v>
      </c>
      <c r="AG13" s="908">
        <f t="shared" si="2"/>
        <v>0</v>
      </c>
      <c r="AH13" s="908">
        <f t="shared" si="2"/>
        <v>0</v>
      </c>
      <c r="AI13" s="908">
        <f t="shared" si="2"/>
        <v>0</v>
      </c>
      <c r="AJ13" s="908">
        <f t="shared" si="2"/>
        <v>1620</v>
      </c>
      <c r="AK13" s="908">
        <f t="shared" si="2"/>
        <v>1792</v>
      </c>
      <c r="AL13" s="908">
        <f t="shared" si="2"/>
        <v>0</v>
      </c>
      <c r="AM13" s="908">
        <f t="shared" si="2"/>
        <v>0</v>
      </c>
      <c r="AN13" s="908">
        <f t="shared" si="2"/>
        <v>0</v>
      </c>
      <c r="AO13" s="904">
        <f>IF(ISNUMBER(((NºAsuntos!I13/NºAsuntos!G13)*11)/factor_trimestre),((NºAsuntos!I13/NºAsuntos!G13)*11)/factor_trimestre," - ")</f>
        <v>7.3732627399073465</v>
      </c>
      <c r="AP13" s="910" t="str">
        <f>IF(ISNUMBER(Datos!CI13/Datos!CJ13),Datos!CI13/Datos!CJ13," - ")</f>
        <v xml:space="preserve"> - </v>
      </c>
      <c r="AQ13" s="928">
        <f t="shared" ref="AQ13:AV13" si="3">SUBTOTAL(9,AQ9:AQ12)</f>
        <v>0</v>
      </c>
      <c r="AR13" s="928">
        <f t="shared" si="3"/>
        <v>2.1851542952460383E-2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1962</v>
      </c>
      <c r="G15" s="225">
        <f>IF(ISNUMBER(IF(D_I="SI",Datos!I15,Datos!I15+Datos!AC15)),IF(D_I="SI",Datos!I15,Datos!I15+Datos!AC15)," - ")</f>
        <v>1911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3536</v>
      </c>
      <c r="Z15" s="619">
        <f>IF(ISNUMBER(Datos!Q15),Datos!Q15," - ")</f>
        <v>126</v>
      </c>
      <c r="AA15" s="332">
        <f>IF(ISNUMBER(IF(D_I="SI",Datos!L15,Datos!L15+Datos!AF15)),IF(D_I="SI",Datos!L15,Datos!L15+Datos!AF15)," - ")</f>
        <v>1933</v>
      </c>
      <c r="AB15" s="334"/>
      <c r="AC15" s="334"/>
      <c r="AD15" s="484"/>
      <c r="AE15" s="484">
        <f>IF(ISNUMBER(Datos!R15),Datos!R15," - ")</f>
        <v>424</v>
      </c>
      <c r="AF15" s="229" t="str">
        <f>IF(ISNUMBER(Datos!BV15),Datos!BV15," - ")</f>
        <v xml:space="preserve"> - </v>
      </c>
      <c r="AG15" s="225"/>
      <c r="AH15" s="298"/>
      <c r="AI15" s="227"/>
      <c r="AJ15" s="225">
        <f>IF(ISNUMBER(Datos!M15),Datos!M15," - ")</f>
        <v>550</v>
      </c>
      <c r="AK15" s="229">
        <f>IF(ISNUMBER(Datos!N15),Datos!N15," - ")</f>
        <v>2308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1.6399886877828054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9</v>
      </c>
      <c r="G16" s="225">
        <f>IF(ISNUMBER(IF(D_I="SI",Datos!I16,Datos!I16+Datos!AC16)),IF(D_I="SI",Datos!I16,Datos!I16+Datos!AC16)," - ")</f>
        <v>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9</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1</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1971</v>
      </c>
      <c r="G18" s="898">
        <f>SUBTOTAL(9,G15:G17)</f>
        <v>1940</v>
      </c>
      <c r="H18" s="932">
        <f>SUBTOTAL(9,H15:H17)</f>
        <v>0</v>
      </c>
      <c r="I18" s="911">
        <f>SUBTOTAL(9,I15:I17)</f>
        <v>0</v>
      </c>
      <c r="J18" s="867">
        <f>SUBTOTAL(9,J14:J17)</f>
        <v>0</v>
      </c>
      <c r="K18" s="932">
        <f t="shared" ref="K18:S18" si="4">SUBTOTAL(9,K15:K17)</f>
        <v>0</v>
      </c>
      <c r="L18" s="932">
        <f t="shared" si="4"/>
        <v>0</v>
      </c>
      <c r="M18" s="932">
        <f t="shared" si="4"/>
        <v>0</v>
      </c>
      <c r="N18" s="932">
        <f t="shared" si="4"/>
        <v>120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3552</v>
      </c>
      <c r="Z18" s="932">
        <f t="shared" si="5"/>
        <v>127</v>
      </c>
      <c r="AA18" s="932">
        <f t="shared" si="5"/>
        <v>1945</v>
      </c>
      <c r="AB18" s="932">
        <f t="shared" si="5"/>
        <v>0</v>
      </c>
      <c r="AC18" s="932">
        <f t="shared" si="5"/>
        <v>0</v>
      </c>
      <c r="AD18" s="932">
        <f t="shared" si="5"/>
        <v>0</v>
      </c>
      <c r="AE18" s="932">
        <f t="shared" si="5"/>
        <v>424</v>
      </c>
      <c r="AF18" s="932">
        <f t="shared" si="5"/>
        <v>0</v>
      </c>
      <c r="AG18" s="932">
        <f t="shared" si="5"/>
        <v>0</v>
      </c>
      <c r="AH18" s="932">
        <f t="shared" si="5"/>
        <v>0</v>
      </c>
      <c r="AI18" s="932">
        <f t="shared" si="5"/>
        <v>0</v>
      </c>
      <c r="AJ18" s="932">
        <f t="shared" si="5"/>
        <v>550</v>
      </c>
      <c r="AK18" s="932">
        <f t="shared" si="5"/>
        <v>2314</v>
      </c>
      <c r="AL18" s="932">
        <f t="shared" si="5"/>
        <v>0</v>
      </c>
      <c r="AM18" s="932">
        <f t="shared" si="5"/>
        <v>0</v>
      </c>
      <c r="AN18" s="932">
        <f t="shared" si="5"/>
        <v>0</v>
      </c>
      <c r="AO18" s="934">
        <f>IF(ISNUMBER(((NºAsuntos!I18/NºAsuntos!G18)*11)/factor_trimestre),((NºAsuntos!I18/NºAsuntos!G18)*11)/factor_trimestre," - ")</f>
        <v>1.6427364864864864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1982</v>
      </c>
      <c r="G19" s="820">
        <f t="shared" si="7"/>
        <v>1951</v>
      </c>
      <c r="H19" s="821">
        <f t="shared" si="7"/>
        <v>0</v>
      </c>
      <c r="I19" s="820">
        <f t="shared" si="7"/>
        <v>0</v>
      </c>
      <c r="J19" s="822">
        <f t="shared" si="7"/>
        <v>0</v>
      </c>
      <c r="K19" s="820">
        <f t="shared" si="7"/>
        <v>0</v>
      </c>
      <c r="L19" s="823">
        <f t="shared" si="7"/>
        <v>0</v>
      </c>
      <c r="M19" s="820">
        <f t="shared" si="7"/>
        <v>0</v>
      </c>
      <c r="N19" s="821">
        <f t="shared" si="7"/>
        <v>1106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3555</v>
      </c>
      <c r="Z19" s="827">
        <f t="shared" si="8"/>
        <v>851</v>
      </c>
      <c r="AA19" s="828">
        <f t="shared" si="8"/>
        <v>1955</v>
      </c>
      <c r="AB19" s="828">
        <f t="shared" si="8"/>
        <v>0</v>
      </c>
      <c r="AC19" s="828">
        <f t="shared" si="8"/>
        <v>0</v>
      </c>
      <c r="AD19" s="829">
        <f t="shared" si="8"/>
        <v>0</v>
      </c>
      <c r="AE19" s="829">
        <f t="shared" si="8"/>
        <v>12741</v>
      </c>
      <c r="AF19" s="830">
        <f t="shared" si="8"/>
        <v>0</v>
      </c>
      <c r="AG19" s="831">
        <f t="shared" si="8"/>
        <v>0</v>
      </c>
      <c r="AH19" s="832">
        <f t="shared" si="8"/>
        <v>0</v>
      </c>
      <c r="AI19" s="830">
        <f t="shared" si="8"/>
        <v>0</v>
      </c>
      <c r="AJ19" s="820">
        <f t="shared" si="8"/>
        <v>2170</v>
      </c>
      <c r="AK19" s="820">
        <f t="shared" si="8"/>
        <v>4106</v>
      </c>
      <c r="AL19" s="820">
        <f t="shared" si="8"/>
        <v>0</v>
      </c>
      <c r="AM19" s="833">
        <f t="shared" si="8"/>
        <v>0</v>
      </c>
      <c r="AN19" s="823">
        <f>IF(ISNUMBER(Datos!K19/Datos!J19),Datos!K19/Datos!J19," - ")</f>
        <v>0.78445718805615983</v>
      </c>
      <c r="AO19" s="823">
        <f>IF(ISNUMBER(FIND("06",Criterios!A8,1)),(IF(ISNUMBER(((Datos!R19/Datos!Q19)*11)/factor_trimestre),((Datos!R19/Datos!Q19)*11)/factor_trimestre," - ")),(IF(ISNUMBER(((Datos!L19/Datos!K19)*11)/factor_trimestre),((Datos!L19/Datos!K19)*11)/factor_trimestre," - ")))</f>
        <v>4.8875724729014367</v>
      </c>
      <c r="AP19" s="834" t="str">
        <f>IF(ISNUMBER(Datos!CI19/Datos!CJ19),Datos!CI19/Datos!CJ19," - ")</f>
        <v xml:space="preserve"> - </v>
      </c>
      <c r="AQ19" s="834">
        <f>IF(OR(ISNUMBER(FIND("01",Criterios!A8,1)),ISNUMBER(FIND("02",Criterios!A8,1)),ISNUMBER(FIND("03",Criterios!A8,1)),ISNUMBER(FIND("04",Criterios!A8,1))),(J19-Y19+K19)/(F19-K19),(I19-Y19+K19)/(F19-K19))</f>
        <v>-1.7936427850655903</v>
      </c>
      <c r="AR19" s="834">
        <f>IF(ISNUMBER((Datos!P19-Datos!Q19+O19)/(Datos!R19-Datos!P19+Datos!Q19-O19)),(Datos!P19-Datos!Q19+O19)/(Datos!R19-Datos!P19+Datos!Q19-O19)," - ")</f>
        <v>2.0422873618452669E-2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650.33333333333337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1071.4416456345161</v>
      </c>
      <c r="G21" s="552">
        <f>IF(ISNUMBER(STDEV(G8:G18)),STDEV(G8:G18),"-")</f>
        <v>987.78776397901731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669.39119461535449</v>
      </c>
      <c r="AK21" s="252"/>
      <c r="AL21" s="252">
        <f>IF(ISNUMBER(STDEV(AL8:AL18)),STDEV(AL8:AL18),"-")</f>
        <v>0</v>
      </c>
      <c r="AM21" s="254">
        <f>IF(ISNUMBER(STDEV(AM8:AM18)),STDEV(AM8:AM18),"-")</f>
        <v>0</v>
      </c>
      <c r="AN21" s="539">
        <f>IF(ISNUMBER(STDEV(AN8:AN18)),STDEV(AN8:AN18),"-")</f>
        <v>0</v>
      </c>
      <c r="AO21" s="540">
        <f>IF(ISNUMBER(STDEV(AO8:AO18)),STDEV(AO8:AO18),"-")</f>
        <v>3.632204636714532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vni93f1Zqlzqe5ZFmEJ72RQ5tsaeMZk7yD0dVyTkVyG/pFxSFHVld1q1e1aKYilpjB7cimkHrPIlNphvpyQFw==" saltValue="tIw/frvY3b6x2lwKErbD5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Wos85jj2MZW0zZU+tq7pt0rBqUb08a13PCNIo0eDxLP4l53x5zabMARh7V22JNTvswx2bZOhRs4hmKCMhY84g==" saltValue="cqmvDelfwadKt1Qh7RKC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Ddxf7Vz0Fh/WT6NecksWlxf1BMAMFXhEEKzfg8Xnd6FVW3NYyc5pAUl8h0jZKVxEK1D13bL0TITB+JUQFT/w==" saltValue="DduI2mWZ728Bl1jJTf4K7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0.35737921906022502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0.25270526925263775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onORUutHlKDiK86ocFbGkQHz/sWHA6s+3O2l6zIS02KdUujsYZXS76Q14SBBChn+f8aWMpqodXPX0uTOvW6kg==" saltValue="/gtraJOsji+xaZ/Tc2XG8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fH18bkO1rRsjAqvTMhqhOUA6xH/xxPpfOS9wVGf3JQRKRJs7b7Ry0Ky4HF1GcBY8luLCpZiRHWBreQ++HcLizQ==" saltValue="H34+dVqm892w+l/OnSVY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CRISTOBAL DE LA LAGUNA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8553</v>
      </c>
      <c r="D9" s="404">
        <f>IF(ISNUMBER(C9/Datos!BH9),C9/Datos!BH9," - ")</f>
        <v>1221.8571428571429</v>
      </c>
      <c r="E9" s="403">
        <f>IF(ISNUMBER(IF(J_V="SI",Datos!J9,Datos!J9+Datos!Z9)),IF(J_V="SI",Datos!J9,Datos!J9+Datos!Z9)," - ")</f>
        <v>6317</v>
      </c>
      <c r="F9" s="404">
        <f>IF(ISNUMBER(E9/B9),E9/B9," - ")</f>
        <v>902.42857142857144</v>
      </c>
      <c r="G9" s="403">
        <f>IF(ISNUMBER(IF(J_V="SI",Datos!K9,Datos!K9+Datos!AA9)),IF(J_V="SI",Datos!K9,Datos!K9+Datos!AA9)," - ")</f>
        <v>4245</v>
      </c>
      <c r="H9" s="404">
        <f>IF(ISNUMBER(G9/B9),G9/B9," - ")</f>
        <v>606.42857142857144</v>
      </c>
      <c r="I9" s="403">
        <f>IF(ISNUMBER(IF(J_V="SI",Datos!L9,Datos!L9+Datos!AB9)),IF(J_V="SI",Datos!L9,Datos!L9+Datos!AB9)," - ")</f>
        <v>10625</v>
      </c>
      <c r="J9" s="404">
        <f>IF(ISNUMBER(I9/B9),I9/B9," - ")</f>
        <v>1517.8571428571429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2</v>
      </c>
      <c r="F10" s="404">
        <f>IF(ISNUMBER(E10/B10),E10/B10," - ")</f>
        <v>2</v>
      </c>
      <c r="G10" s="403">
        <f>IF(ISNUMBER(Datos!K10),Datos!K10," - ")</f>
        <v>3</v>
      </c>
      <c r="H10" s="404">
        <f>IF(ISNUMBER(G10/B10),G10/B10," - ")</f>
        <v>3</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360</v>
      </c>
      <c r="D11" s="404" t="str">
        <f>IF(ISNUMBER(C11/Datos!BH11),C11/Datos!BH11," - ")</f>
        <v xml:space="preserve"> - </v>
      </c>
      <c r="E11" s="403">
        <f>IF(ISNUMBER(IF(J_V="SI",Datos!J11,Datos!J11+Datos!Z11)),IF(J_V="SI",Datos!J11,Datos!J11+Datos!Z11)," - ")</f>
        <v>431</v>
      </c>
      <c r="F11" s="404">
        <f>IF(ISNUMBER(E11/B11),E11/B11," - ")</f>
        <v>431</v>
      </c>
      <c r="G11" s="403">
        <f>IF(ISNUMBER(IF(J_V="SI",Datos!K11,Datos!K11+Datos!AA11)),IF(J_V="SI",Datos!K11,Datos!K11+Datos!AA11)," - ")</f>
        <v>285</v>
      </c>
      <c r="H11" s="404">
        <f>IF(ISNUMBER(G11/B11),G11/B11," - ")</f>
        <v>285</v>
      </c>
      <c r="I11" s="403">
        <f>IF(ISNUMBER(IF(J_V="SI",Datos!L11,Datos!L11+Datos!AB11)),IF(J_V="SI",Datos!L11,Datos!L11+Datos!AB11)," - ")</f>
        <v>506</v>
      </c>
      <c r="J11" s="404">
        <f>IF(ISNUMBER(I11/B11),I11/B11," - ")</f>
        <v>506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8924</v>
      </c>
      <c r="D13" s="850" t="str">
        <f>IF(ISNUMBER(C13/Datos!BI13),C13/Datos!BI13," - ")</f>
        <v xml:space="preserve"> - </v>
      </c>
      <c r="E13" s="849">
        <f>SUBTOTAL(9,E8:E12)</f>
        <v>6750</v>
      </c>
      <c r="F13" s="850">
        <f>IF(ISNUMBER(E13/B13),E13/B13," - ")</f>
        <v>843.75</v>
      </c>
      <c r="G13" s="849">
        <f>SUBTOTAL(9,G8:G12)</f>
        <v>4533</v>
      </c>
      <c r="H13" s="850">
        <f>IF(ISNUMBER(G13/B13),G13/B13," - ")</f>
        <v>566.625</v>
      </c>
      <c r="I13" s="849">
        <f>SUBTOTAL(9,I8:I12)</f>
        <v>11141</v>
      </c>
      <c r="J13" s="850">
        <f>IF(ISNUMBER(I13/B13),I13/B13," - ")</f>
        <v>1392.625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1911</v>
      </c>
      <c r="D15" s="404">
        <f>IF(ISNUMBER(C15/Datos!BH15),C15/Datos!BH15," - ")</f>
        <v>477.75</v>
      </c>
      <c r="E15" s="403">
        <f>IF(ISNUMBER(IF(D_I="SI",Datos!J15,Datos!J15+Datos!AD15)),IF(D_I="SI",Datos!J15,Datos!J15+Datos!AD15)," - ")</f>
        <v>3507</v>
      </c>
      <c r="F15" s="404">
        <f>IF(ISNUMBER(E15/B15),E15/B15," - ")</f>
        <v>876.75</v>
      </c>
      <c r="G15" s="403">
        <f>IF(ISNUMBER(IF(D_I="SI",Datos!K15,Datos!K15+Datos!AE15)),IF(D_I="SI",Datos!K15,Datos!K15+Datos!AE15)," - ")</f>
        <v>3536</v>
      </c>
      <c r="H15" s="404">
        <f>IF(ISNUMBER(G15/B15),G15/B15," - ")</f>
        <v>884</v>
      </c>
      <c r="I15" s="403">
        <f>IF(ISNUMBER(IF(D_I="SI",Datos!L15,Datos!L15+Datos!AF15)),IF(D_I="SI",Datos!L15,Datos!L15+Datos!AF15)," - ")</f>
        <v>1933</v>
      </c>
      <c r="J15" s="404">
        <f>IF(ISNUMBER(I15/B15),I15/B15," - ")</f>
        <v>483.25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9</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0</v>
      </c>
      <c r="F17" s="404">
        <f>IF(ISNUMBER(E17/B17),E17/B17," - ")</f>
        <v>0</v>
      </c>
      <c r="G17" s="403">
        <f>IF(ISNUMBER(IF(D_I="SI",Datos!K17,Datos!K17+Datos!AE17)),IF(D_I="SI",Datos!K17,Datos!K17+Datos!AE17)," - ")</f>
        <v>16</v>
      </c>
      <c r="H17" s="404">
        <f>IF(ISNUMBER(G17/B17),G17/B17," - ")</f>
        <v>16</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1940</v>
      </c>
      <c r="D18" s="850" t="str">
        <f>IF(ISNUMBER(C18/Datos!BI18),C18/Datos!BI18," - ")</f>
        <v xml:space="preserve"> - </v>
      </c>
      <c r="E18" s="849">
        <f>SUBTOTAL(9,E14:E17)</f>
        <v>3507</v>
      </c>
      <c r="F18" s="850">
        <f>IF(ISNUMBER(E18/B18),E18/B18," - ")</f>
        <v>876.75</v>
      </c>
      <c r="G18" s="849">
        <f>SUBTOTAL(9,G14:G17)</f>
        <v>3552</v>
      </c>
      <c r="H18" s="850">
        <f>IF(ISNUMBER(G18/B18),G18/B18," - ")</f>
        <v>888</v>
      </c>
      <c r="I18" s="849">
        <f>SUBTOTAL(9,I14:I17)</f>
        <v>1945</v>
      </c>
      <c r="J18" s="850">
        <f>IF(ISNUMBER(I18/B18),I18/B18," - ")</f>
        <v>486.25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10864</v>
      </c>
      <c r="D19" s="795" t="str">
        <f>IF(ISNUMBER(C19/Datos!BI19),C19/Datos!BI19," - ")</f>
        <v xml:space="preserve"> - </v>
      </c>
      <c r="E19" s="794">
        <f>SUBTOTAL(9,E9:E18)</f>
        <v>10257</v>
      </c>
      <c r="F19" s="795">
        <f>IF(ISNUMBER(E19/B19),E19/B19," - ")</f>
        <v>854.75</v>
      </c>
      <c r="G19" s="794">
        <f>SUBTOTAL(9,G9:G18)</f>
        <v>8085</v>
      </c>
      <c r="H19" s="795">
        <f>IF(ISNUMBER(G19/B19),G19/B19," - ")</f>
        <v>673.75</v>
      </c>
      <c r="I19" s="794">
        <f>SUBTOTAL(9,I9:I18)</f>
        <v>13086</v>
      </c>
      <c r="J19" s="795">
        <f>IF(ISNUMBER(I19/B19),I19/B19," - ")</f>
        <v>1090.5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9wCqrDbp3DFx9KtIwizA38h9l+2zV61avJm5aWsLdtvri/JdjEST/fQt0ZmC/JuhPHzGOqjmADy5eD5KPiBmZA==" saltValue="Z1ZXPF18xMOo4EZlgTsO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10.000000000000002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0</v>
      </c>
      <c r="AE13" s="939">
        <f t="shared" si="1"/>
        <v>0</v>
      </c>
      <c r="AF13" s="939">
        <f t="shared" si="1"/>
        <v>10</v>
      </c>
      <c r="AG13" s="939">
        <f t="shared" si="1"/>
        <v>0</v>
      </c>
      <c r="AH13" s="939">
        <f t="shared" si="1"/>
        <v>0</v>
      </c>
      <c r="AI13" s="939">
        <f t="shared" si="1"/>
        <v>0</v>
      </c>
      <c r="AJ13" s="939">
        <f t="shared" si="1"/>
        <v>0</v>
      </c>
      <c r="AK13" s="939">
        <f t="shared" si="1"/>
        <v>0</v>
      </c>
      <c r="AL13" s="939">
        <f t="shared" si="1"/>
        <v>0</v>
      </c>
      <c r="AM13" s="939">
        <f t="shared" si="1"/>
        <v>3</v>
      </c>
      <c r="AN13" s="939">
        <f t="shared" si="1"/>
        <v>0</v>
      </c>
      <c r="AO13" s="939">
        <f t="shared" si="1"/>
        <v>0</v>
      </c>
      <c r="AP13" s="944">
        <f>IF(ISNUMBER(((Datos!L13/Datos!K13)*11)/factor_trimestre),((Datos!L13/Datos!K13)*11)/factor_trimestre," - ")</f>
        <v>7.5178000912825205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1.6427364864864864</v>
      </c>
      <c r="AQ18" s="944">
        <f>IF(ISNUMBER(((Datos!M18/Datos!L18)*11)/factor_trimestre),((Datos!M18/Datos!L18)*11)/factor_trimestre," - ")</f>
        <v>0.84832904884318783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-1.6241299303944315E-2</v>
      </c>
      <c r="AW18" s="946">
        <f>IF(ISNUMBER((Datos!Q18-Datos!R18)/(Datos!S18-Datos!Q18+Datos!R18)),(Datos!Q18-Datos!R18)/(Datos!S18-Datos!Q18+Datos!R18)," - ")</f>
        <v>-0.11131934032983508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0</v>
      </c>
      <c r="AE19" s="957">
        <f t="shared" si="5"/>
        <v>0</v>
      </c>
      <c r="AF19" s="958">
        <f t="shared" si="5"/>
        <v>10</v>
      </c>
      <c r="AG19" s="958">
        <f t="shared" si="5"/>
        <v>0</v>
      </c>
      <c r="AH19" s="958">
        <f t="shared" si="5"/>
        <v>0</v>
      </c>
      <c r="AI19" s="958">
        <f t="shared" si="5"/>
        <v>0</v>
      </c>
      <c r="AJ19" s="959">
        <f t="shared" si="5"/>
        <v>0</v>
      </c>
      <c r="AK19" s="959">
        <f t="shared" si="5"/>
        <v>0</v>
      </c>
      <c r="AL19" s="951">
        <f t="shared" si="5"/>
        <v>0</v>
      </c>
      <c r="AM19" s="951">
        <f t="shared" si="5"/>
        <v>3</v>
      </c>
      <c r="AN19" s="951">
        <f t="shared" si="5"/>
        <v>0</v>
      </c>
      <c r="AO19" s="951">
        <f t="shared" si="5"/>
        <v>0</v>
      </c>
      <c r="AP19" s="951">
        <f>IF(ISNUMBER(((Datos!L19/Datos!K19)*11)/factor_trimestre),((Datos!L19/Datos!K19)*11)/factor_trimestre," - ")</f>
        <v>4.8875724729014367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2.0422873618452669E-2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0</v>
      </c>
      <c r="AM21" s="736"/>
      <c r="AN21" s="736">
        <f>IF(ISNUMBER(STDEV(AN8:AN18)),STDEV(AN8:AN18),"-")</f>
        <v>0</v>
      </c>
      <c r="AO21" s="742">
        <f>IF(ISNUMBER(STDEV(AO8:AO18)),STDEV(AO8:AO18),"-")</f>
        <v>0</v>
      </c>
      <c r="AP21" s="779">
        <f>IF(ISNUMBER(STDEV(AP8:AP18)),STDEV(AP8:AP18),"-")</f>
        <v>4.2918826906448304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1PwVdVhlgYDIYx7U2P5hBox0El5rWW3eqGBQl7uQSKDRrxdzQla6baNIJTaxXoUwhGSI5rrB2kcgQsXn2Jgiw==" saltValue="PdjuRBjSgs/MKAQs2X+TP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CRISTOBAL DE LA LAGUNA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25XkmO3gY5jeWYIruO9MEZ17+OSom1JdyEWGYiIWl3OzlEWFWATqy9NYlQd4efVXsfKRcuavbogTEK1mrwnqw==" saltValue="kz7JUa66pWMtHGoIg//7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CRISTOBAL DE LA LAGUNA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1499</v>
      </c>
      <c r="E9" s="404">
        <f t="shared" ref="E9:E13" si="0">IF(ISNUMBER(D9/B9),D9/B9," - ")</f>
        <v>214.14285714285714</v>
      </c>
      <c r="F9" s="403">
        <f>IF(ISNUMBER(Datos!N9),Datos!N9," - ")</f>
        <v>1705</v>
      </c>
      <c r="G9" s="404">
        <f t="shared" ref="G9:G13" si="1">IF(ISNUMBER(F9/B9),F9/B9," - ")</f>
        <v>243.57142857142858</v>
      </c>
      <c r="H9" s="403">
        <f>IF(ISNUMBER(Datos!O9),Datos!O9," - ")</f>
        <v>1300</v>
      </c>
      <c r="I9" s="404">
        <f>IF(ISNUMBER(H9/B9),H9/B9," - ")</f>
        <v>185.71428571428572</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121</v>
      </c>
      <c r="E11" s="404">
        <f t="shared" si="0"/>
        <v>121</v>
      </c>
      <c r="F11" s="403">
        <f>IF(ISNUMBER(Datos!N11),Datos!N11," - ")</f>
        <v>84</v>
      </c>
      <c r="G11" s="404">
        <f t="shared" si="1"/>
        <v>84</v>
      </c>
      <c r="H11" s="403">
        <f>IF(ISNUMBER(Datos!O11),Datos!O11," - ")</f>
        <v>53</v>
      </c>
      <c r="I11" s="404">
        <f t="shared" si="2"/>
        <v>53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1620</v>
      </c>
      <c r="E13" s="850">
        <f t="shared" si="0"/>
        <v>202.5</v>
      </c>
      <c r="F13" s="849">
        <f>SUBTOTAL(9,F9:F12)</f>
        <v>1792</v>
      </c>
      <c r="G13" s="850">
        <f t="shared" si="1"/>
        <v>224</v>
      </c>
      <c r="H13" s="849">
        <f>SUBTOTAL(9,H9:H12)</f>
        <v>1353</v>
      </c>
      <c r="I13" s="850">
        <f>IF(ISNUMBER(H13/B13),H13/B13," - ")</f>
        <v>169.125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550</v>
      </c>
      <c r="E15" s="404">
        <f t="shared" ref="E15:E18" si="3">IF(ISNUMBER(D15/B15),D15/B15," - ")</f>
        <v>137.5</v>
      </c>
      <c r="F15" s="403">
        <f>IF(ISNUMBER(Datos!N15),Datos!N15," - ")</f>
        <v>2308</v>
      </c>
      <c r="G15" s="404">
        <f t="shared" ref="G15:G18" si="4">IF(ISNUMBER(F15/B15),F15/B15," - ")</f>
        <v>577</v>
      </c>
      <c r="H15" s="403">
        <f>IF(ISNUMBER(Datos!O15),Datos!O15," - ")</f>
        <v>71</v>
      </c>
      <c r="I15" s="404">
        <f t="shared" ref="I15:I17" si="5">IF(ISNUMBER(H15/B15),H15/B15," - ")</f>
        <v>17.75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550</v>
      </c>
      <c r="E18" s="850">
        <f t="shared" si="3"/>
        <v>137.5</v>
      </c>
      <c r="F18" s="849">
        <f>SUBTOTAL(9,F15:F17)</f>
        <v>2314</v>
      </c>
      <c r="G18" s="850">
        <f t="shared" si="4"/>
        <v>578.5</v>
      </c>
      <c r="H18" s="849">
        <f>SUBTOTAL(9,H15:H17)</f>
        <v>71</v>
      </c>
      <c r="I18" s="850">
        <f>IF(ISNUMBER(H18/B18),H18/B18," - ")</f>
        <v>17.75</v>
      </c>
      <c r="BZ18" s="1186"/>
    </row>
    <row r="19" spans="1:78" ht="14.25" thickTop="1" thickBot="1">
      <c r="A19" s="793" t="str">
        <f>Datos!A19</f>
        <v>TOTAL JURISDICCIONES</v>
      </c>
      <c r="B19" s="794">
        <f>Datos!AP19</f>
        <v>12</v>
      </c>
      <c r="C19" s="794">
        <f>Datos!AR19</f>
        <v>12</v>
      </c>
      <c r="D19" s="794">
        <f>SUBTOTAL(9,D8:D18)</f>
        <v>2170</v>
      </c>
      <c r="E19" s="795">
        <f>IF(ISNUMBER(D19/B19),D19/B19," - ")</f>
        <v>180.83333333333334</v>
      </c>
      <c r="F19" s="794">
        <f>SUBTOTAL(9,F8:F18)</f>
        <v>4106</v>
      </c>
      <c r="G19" s="795">
        <f>IF(ISNUMBER(F19/B19),F19/B19," - ")</f>
        <v>342.16666666666669</v>
      </c>
      <c r="H19" s="794">
        <f>SUBTOTAL(9,H8:H18)</f>
        <v>1424</v>
      </c>
      <c r="I19" s="795">
        <f>IF(ISNUMBER(H19/B19),H19/B19," - ")</f>
        <v>118.66666666666667</v>
      </c>
    </row>
    <row r="22" spans="1:78">
      <c r="A22" s="391" t="str">
        <f>Criterios!A4</f>
        <v>Fecha Informe: 03 jun. 2025</v>
      </c>
    </row>
    <row r="27" spans="1:78">
      <c r="A27" s="414"/>
    </row>
  </sheetData>
  <sheetProtection algorithmName="SHA-512" hashValue="/RZs5DrRGbaMoCbv8j3XaCBFbk1rl1aG63WPvrqQLHiwqK3MzrLoWuBn/W2M0NmFtY8wAvVOyidLrVTgYOZf+A==" saltValue="njaZTDGPcyXg6cnZ9Uep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CRISTOBAL DE LA LAGUNA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986</v>
      </c>
      <c r="C9" s="434">
        <f>IF(ISNUMBER(Datos!Q9),Datos!Q9," - ")</f>
        <v>724</v>
      </c>
      <c r="D9" s="408">
        <f>IF(ISNUMBER(Datos!R9),Datos!R9," - ")</f>
        <v>12252</v>
      </c>
    </row>
    <row r="10" spans="1:4">
      <c r="A10" s="402" t="str">
        <f>Datos!A10</f>
        <v>Jdos. Violencia contra la mujer</v>
      </c>
      <c r="B10" s="433">
        <f>IF(ISNUMBER(Datos!P10),Datos!P10," - ")</f>
        <v>0</v>
      </c>
      <c r="C10" s="434">
        <f>IF(ISNUMBER(Datos!Q10),Datos!Q10," - ")</f>
        <v>0</v>
      </c>
      <c r="D10" s="408">
        <f>IF(ISNUMBER(Datos!R10),Datos!R10," - ")</f>
        <v>65</v>
      </c>
    </row>
    <row r="11" spans="1:4">
      <c r="A11" s="402" t="str">
        <f>Datos!A11</f>
        <v xml:space="preserve">Jdos. Familia                                   </v>
      </c>
      <c r="B11" s="433">
        <f>IF(ISNUMBER(Datos!P11),Datos!P11," - ")</f>
        <v>0</v>
      </c>
      <c r="C11" s="434">
        <f>IF(ISNUMBER(Datos!Q11),Datos!Q11," - ")</f>
        <v>0</v>
      </c>
      <c r="D11" s="408">
        <f>IF(ISNUMBER(Datos!R11),Datos!R11," - ")</f>
        <v>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986</v>
      </c>
      <c r="C13" s="853">
        <f>SUBTOTAL(9,C9:C12)</f>
        <v>724</v>
      </c>
      <c r="D13" s="851">
        <f>SUBTOTAL(9,D9:D12)</f>
        <v>12317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120</v>
      </c>
      <c r="C15" s="434">
        <f>IF(ISNUMBER(Datos!Q15),Datos!Q15," - ")</f>
        <v>126</v>
      </c>
      <c r="D15" s="408">
        <f>IF(ISNUMBER(Datos!R15),Datos!R15," - ")</f>
        <v>424</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120</v>
      </c>
      <c r="C18" s="853">
        <f>SUBTOTAL(9,C15:C17)</f>
        <v>127</v>
      </c>
      <c r="D18" s="851">
        <f>SUBTOTAL(9,D15:D17)</f>
        <v>424</v>
      </c>
    </row>
    <row r="19" spans="1:4" ht="16.5" customHeight="1" thickTop="1" thickBot="1">
      <c r="A19" s="793" t="str">
        <f>Datos!A19</f>
        <v>TOTAL JURISDICCIONES</v>
      </c>
      <c r="B19" s="798">
        <f>SUBTOTAL(9,B8:B18)</f>
        <v>1106</v>
      </c>
      <c r="C19" s="799">
        <f>SUBTOTAL(9,C8:C18)</f>
        <v>851</v>
      </c>
      <c r="D19" s="800">
        <f>SUBTOTAL(9,D8:D18)</f>
        <v>12741</v>
      </c>
    </row>
    <row r="20" spans="1:4" ht="7.5" customHeight="1"/>
    <row r="21" spans="1:4" ht="6" customHeight="1"/>
    <row r="22" spans="1:4">
      <c r="A22" s="391" t="str">
        <f>Criterios!A4</f>
        <v>Fecha Informe: 03 jun. 2025</v>
      </c>
    </row>
    <row r="27" spans="1:4">
      <c r="A27" s="414"/>
    </row>
  </sheetData>
  <sheetProtection algorithmName="SHA-512" hashValue="nubZIWYRkx9kqTgRUsAPpvx2xdxwjj5YCLjvrntpjJWSKyCBj6Bo0sJITtj63Zw1fGV4PQ4FJx4qbqwe660j3g==" saltValue="n7W3mDYcV04USX6KaFUR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CRISTOBAL DE LA LAGUNA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-0.21618401759530792</v>
      </c>
      <c r="C9" s="456">
        <f>IF(ISNUMBER(
   IF(J_V="SI",(Datos!J9-Datos!T9)/Datos!T9,(Datos!J9+Datos!Z9-(Datos!T9+Datos!AH9))/(Datos!T9+Datos!AH9))
     ),IF(J_V="SI",(Datos!J9-Datos!T9)/Datos!T9,(Datos!J9+Datos!Z9-(Datos!T9+Datos!AH9))/(Datos!T9+Datos!AH9))," - ")</f>
        <v>0.59560495074513764</v>
      </c>
      <c r="D9" s="456">
        <f>IF(ISNUMBER(
   IF(J_V="SI",(Datos!K9-Datos!U9)/Datos!U9,(Datos!K9+Datos!AA9-(Datos!U9+Datos!AI9))/(Datos!U9+Datos!AI9))
     ),IF(J_V="SI",(Datos!K9-Datos!U9)/Datos!U9,(Datos!K9+Datos!AA9-(Datos!U9+Datos!AI9))/(Datos!U9+Datos!AI9))," - ")</f>
        <v>-8.4092501751927128E-3</v>
      </c>
      <c r="E9" s="456">
        <f>IF(ISNUMBER(
   IF(J_V="SI",(Datos!L9-Datos!V9)/Datos!V9,(Datos!L9+Datos!AB9-(Datos!V9+Datos!AJ9))/(Datos!V9+Datos!AJ9))
     ),IF(J_V="SI",(Datos!L9-Datos!V9)/Datos!V9,(Datos!L9+Datos!AB9-(Datos!V9+Datos!AJ9))/(Datos!V9+Datos!AJ9))," - ")</f>
        <v>4.1583971269256214E-3</v>
      </c>
      <c r="F9" s="456">
        <f>IF(ISNUMBER((Datos!M9-Datos!W9)/Datos!W9),(Datos!M9-Datos!W9)/Datos!W9," - ")</f>
        <v>-0.13000580383052815</v>
      </c>
      <c r="G9" s="457">
        <f>IF(ISNUMBER((Datos!N9-Datos!X9)/Datos!X9),(Datos!N9-Datos!X9)/Datos!X9," - ")</f>
        <v>0.25552282768777612</v>
      </c>
      <c r="H9" s="455">
        <f>IF(ISNUMBER(((NºAsuntos!G9/NºAsuntos!E9)-Datos!BD9)/Datos!BD9),((NºAsuntos!G9/NºAsuntos!E9)-Datos!BD9)/Datos!BD9," - ")</f>
        <v>-0.3785487132251999</v>
      </c>
      <c r="I9" s="456">
        <f>IF(ISNUMBER(((NºAsuntos!I9/NºAsuntos!G9)-Datos!BE9)/Datos!BE9),((NºAsuntos!I9/NºAsuntos!G9)-Datos!BE9)/Datos!BE9," - ")</f>
        <v>1.2674228056623918E-2</v>
      </c>
      <c r="J9" s="461">
        <f>IF(ISNUMBER((('Resol  Asuntos'!D9/NºAsuntos!G9)-Datos!BF9)/Datos!BF9),(('Resol  Asuntos'!D9/NºAsuntos!G9)-Datos!BF9)/Datos!BF9," - ")</f>
        <v>0.113190255884511</v>
      </c>
      <c r="K9" s="462">
        <f>IF(ISNUMBER((((NºAsuntos!C9+NºAsuntos!E9)/NºAsuntos!G9)-Datos!BG9)/Datos!BG9),(((NºAsuntos!C9+NºAsuntos!E9)/NºAsuntos!G9)-Datos!BG9)/Datos!BG9," - ")</f>
        <v>8.4127501221933632E-3</v>
      </c>
    </row>
    <row r="10" spans="1:11">
      <c r="A10" s="402" t="str">
        <f>Datos!A10</f>
        <v>Jdos. Violencia contra la mujer</v>
      </c>
      <c r="B10" s="455">
        <f>IF(ISNUMBER((Datos!I10-Datos!S10)/Datos!S10),(Datos!I10-Datos!S10)/Datos!S10," - ")</f>
        <v>-0.21428571428571427</v>
      </c>
      <c r="C10" s="456">
        <f>IF(ISNUMBER((Datos!J10-Datos!T10)/Datos!T10),(Datos!J10-Datos!T10)/Datos!T10," - ")</f>
        <v>-0.7142857142857143</v>
      </c>
      <c r="D10" s="456">
        <f>IF(ISNUMBER((Datos!K10-Datos!U10)/Datos!U10),(Datos!K10-Datos!U10)/Datos!U10," - ")</f>
        <v>-0.5</v>
      </c>
      <c r="E10" s="456">
        <f>IF(ISNUMBER((Datos!L10-Datos!V10)/Datos!V10),(Datos!L10-Datos!V10)/Datos!V10," - ")</f>
        <v>-0.33333333333333331</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0.75000000000000011</v>
      </c>
      <c r="I10" s="456">
        <f>IF(ISNUMBER(((NºAsuntos!I10/NºAsuntos!G10)-Datos!BE10)/Datos!BE10),((NºAsuntos!I10/NºAsuntos!G10)-Datos!BE10)/Datos!BE10," - ")</f>
        <v>0.33333333333333337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0.238095238095238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-0.1832326560497895</v>
      </c>
      <c r="C13" s="855">
        <f>IF(ISNUMBER(
   IF(J_V="SI",(Datos!J13-Datos!T13)/Datos!T13,(Datos!J13+Datos!Z13-(Datos!T13+Datos!AH13))/(Datos!T13+Datos!AH13))
     ),IF(J_V="SI",(Datos!J13-Datos!T13)/Datos!T13,(Datos!J13+Datos!Z13-(Datos!T13+Datos!AH13))/(Datos!T13+Datos!AH13))," - ")</f>
        <v>0.70196671709531011</v>
      </c>
      <c r="D13" s="855">
        <f>IF(ISNUMBER(
   IF(J_V="SI",(Datos!K13-Datos!U13)/Datos!U13,(Datos!K13+Datos!AA13-(Datos!U13+Datos!AI13))/(Datos!U13+Datos!AI13))
     ),IF(J_V="SI",(Datos!K13-Datos!U13)/Datos!U13,(Datos!K13+Datos!AA13-(Datos!U13+Datos!AI13))/(Datos!U13+Datos!AI13))," - ")</f>
        <v>5.7382785164450667E-2</v>
      </c>
      <c r="E13" s="855">
        <f>IF(ISNUMBER(
   IF(J_V="SI",(Datos!L13-Datos!V13)/Datos!V13,(Datos!L13+Datos!AB13-(Datos!V13+Datos!AJ13))/(Datos!V13+Datos!AJ13))
     ),IF(J_V="SI",(Datos!L13-Datos!V13)/Datos!V13,(Datos!L13+Datos!AB13-(Datos!V13+Datos!AJ13))/(Datos!V13+Datos!AJ13))," - ")</f>
        <v>5.1434503586258964E-2</v>
      </c>
      <c r="F13" s="856">
        <f>IF(ISNUMBER((Datos!M13-Datos!W13)/Datos!W13),(Datos!M13-Datos!W13)/Datos!W13," - ")</f>
        <v>-5.9779454439930352E-2</v>
      </c>
      <c r="G13" s="857">
        <f>IF(ISNUMBER((Datos!N13-Datos!X13)/Datos!X13),(Datos!N13-Datos!X13)/Datos!X13," - ")</f>
        <v>0.31667891256429098</v>
      </c>
      <c r="H13" s="857">
        <f>IF(ISNUMBER(((NºAsuntos!G13/NºAsuntos!E13)-Datos!BD13)/Datos!BD13),((NºAsuntos!G13/NºAsuntos!E13)-Datos!BD13)/Datos!BD13," - ")</f>
        <v>-0.37872887022782048</v>
      </c>
      <c r="I13" s="857">
        <f>IF(ISNUMBER(((NºAsuntos!I13/NºAsuntos!G13)-Datos!BE13)/Datos!BE13),((NºAsuntos!I13/NºAsuntos!G13)-Datos!BE13)/Datos!BE13," - ")</f>
        <v>-5.6254760921483045E-3</v>
      </c>
      <c r="J13" s="857">
        <f>IF(ISNUMBER((('Resol  Asuntos'!D13/NºAsuntos!G13)-Datos!BF13)/Datos!BF13),(('Resol  Asuntos'!D13/NºAsuntos!G13)-Datos!BF13)/Datos!BF13," - ")</f>
        <v>0.12819198240882518</v>
      </c>
      <c r="K13" s="857">
        <f>IF(ISNUMBER((((NºAsuntos!C13+NºAsuntos!E13)/NºAsuntos!G13)-Datos!BG13)/Datos!BG13),(((NºAsuntos!C13+NºAsuntos!E13)/NºAsuntos!G13)-Datos!BG13)/Datos!BG13," - ")</f>
        <v>-4.6070067601666452E-3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-0.17806451612903226</v>
      </c>
      <c r="C15" s="456">
        <f>IF(ISNUMBER(
   IF(D_I="SI",(Datos!J15-Datos!T15)/Datos!T15,(Datos!J15+Datos!AD15-(Datos!T15+Datos!AL15))/(Datos!T15+Datos!AL15))
     ),IF(D_I="SI",(Datos!J15-Datos!T15)/Datos!T15,(Datos!J15+Datos!AD15-(Datos!T15+Datos!AL15))/(Datos!T15+Datos!AL15))," - ")</f>
        <v>8.4415584415584416E-2</v>
      </c>
      <c r="D15" s="456">
        <f>IF(ISNUMBER(
   IF(D_I="SI",(Datos!K15-Datos!U15)/Datos!U15,(Datos!K15+Datos!AE15-(Datos!U15+Datos!AM15))/(Datos!U15+Datos!AM15))
     ),IF(D_I="SI",(Datos!K15-Datos!U15)/Datos!U15,(Datos!K15+Datos!AE15-(Datos!U15+Datos!AM15))/(Datos!U15+Datos!AM15))," - ")</f>
        <v>6.2180835085611293E-2</v>
      </c>
      <c r="E15" s="456">
        <f>IF(ISNUMBER(
   IF(D_I="SI",(Datos!L15-Datos!V15)/Datos!V15,(Datos!L15+Datos!AF15-(Datos!V15+Datos!AN15))/(Datos!V15+Datos!AN15))
     ),IF(D_I="SI",(Datos!L15-Datos!V15)/Datos!V15,(Datos!L15+Datos!AF15-(Datos!V15+Datos!AN15))/(Datos!V15+Datos!AN15))," - ")</f>
        <v>-0.15515734265734266</v>
      </c>
      <c r="F15" s="456">
        <f>IF(ISNUMBER((Datos!M15-Datos!W15)/Datos!W15),(Datos!M15-Datos!W15)/Datos!W15," - ")</f>
        <v>-4.1811846689895474E-2</v>
      </c>
      <c r="G15" s="457">
        <f>IF(ISNUMBER((Datos!N15-Datos!X15)/Datos!X15),(Datos!N15-Datos!X15)/Datos!X15," - ")</f>
        <v>0.18907779495105614</v>
      </c>
      <c r="H15" s="455">
        <f>IF(ISNUMBER(((NºAsuntos!G15/NºAsuntos!E15)-Datos!BD15)/Datos!BD15),((NºAsuntos!G15/NºAsuntos!E15)-Datos!BD15)/Datos!BD15," - ")</f>
        <v>-2.0503900579735508E-2</v>
      </c>
      <c r="I15" s="456">
        <f>IF(ISNUMBER(((NºAsuntos!I15/NºAsuntos!G15)-Datos!BE15)/Datos!BE15),((NºAsuntos!I15/NºAsuntos!G15)-Datos!BE15)/Datos!BE15," - ")</f>
        <v>-0.20461504346897455</v>
      </c>
      <c r="J15" s="461">
        <f>IF(ISNUMBER((('Resol  Asuntos'!D15/NºAsuntos!G15)-Datos!BF15)/Datos!BF15),(('Resol  Asuntos'!D15/NºAsuntos!G15)-Datos!BF15)/Datos!BF15," - ")</f>
        <v>-9.7904874895549179E-2</v>
      </c>
      <c r="K15" s="462">
        <f>IF(ISNUMBER((((NºAsuntos!C15+NºAsuntos!E15)/NºAsuntos!G15)-Datos!BG15)/Datos!BG15),(((NºAsuntos!C15+NºAsuntos!E15)/NºAsuntos!G15)-Datos!BG15)/Datos!BG15," - ")</f>
        <v>-8.2420155159909358E-2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-0.47222222222222221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1.6666666666666667</v>
      </c>
      <c r="E17" s="456">
        <f>IF(ISNUMBER(
   IF(D_I="SI",(Datos!L17-Datos!V17)/Datos!V17,(Datos!L17+Datos!AF17-(Datos!V17+Datos!AN17))/(Datos!V17+Datos!AN17))
     ),IF(D_I="SI",(Datos!L17-Datos!V17)/Datos!V17,(Datos!L17+Datos!AF17-(Datos!V17+Datos!AN17))/(Datos!V17+Datos!AN17))," - ")</f>
        <v>-0.90625</v>
      </c>
      <c r="F17" s="456" t="str">
        <f>IF(ISNUMBER((Datos!M17-Datos!W17)/Datos!W17),(Datos!M17-Datos!W17)/Datos!W17," - ")</f>
        <v xml:space="preserve"> - </v>
      </c>
      <c r="G17" s="457">
        <f>IF(ISNUMBER((Datos!N17-Datos!X17)/Datos!X17),(Datos!N17-Datos!X17)/Datos!X17," - ")</f>
        <v>5</v>
      </c>
      <c r="H17" s="455" t="str">
        <f>IF(ISNUMBER(((NºAsuntos!G17/NºAsuntos!E17)-Datos!BD17)/Datos!BD17),((NºAsuntos!G17/NºAsuntos!E17)-Datos!BD17)/Datos!BD17," - ")</f>
        <v xml:space="preserve"> - </v>
      </c>
      <c r="I17" s="456">
        <f>IF(ISNUMBER(((NºAsuntos!I17/NºAsuntos!G17)-Datos!BE17)/Datos!BE17),((NºAsuntos!I17/NºAsuntos!G17)-Datos!BE17)/Datos!BE17," - ")</f>
        <v>-0.96484375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-0.8125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-0.1817798397300717</v>
      </c>
      <c r="C18" s="855">
        <f>IF(ISNUMBER(
   IF(Criterios!B14="SI",(Datos!J18-Datos!T18)/Datos!T18,(Datos!J18+Datos!AD18-(Datos!T18+Datos!AL18))/(Datos!T18+Datos!AL18))
     ),IF(Criterios!B14="SI",(Datos!J18-Datos!T18)/Datos!T18,(Datos!J18+Datos!AD18-(Datos!T18+Datos!AL18))/(Datos!T18+Datos!AL18))," - ")</f>
        <v>8.3745364647713233E-2</v>
      </c>
      <c r="D18" s="855">
        <f>IF(ISNUMBER(
   IF(Criterios!B14="SI",(Datos!K18-Datos!U18)/Datos!U18,(Datos!K18+Datos!AE18-(Datos!U18+Datos!AM18))/(Datos!U18+Datos!AM18))
     ),IF(Criterios!B14="SI",(Datos!K18-Datos!U18)/Datos!U18,(Datos!K18+Datos!AE18-(Datos!U18+Datos!AM18))/(Datos!U18+Datos!AM18))," - ")</f>
        <v>6.5067466266866561E-2</v>
      </c>
      <c r="E18" s="855">
        <f>IF(ISNUMBER(
   IF(Criterios!B14="SI",(Datos!L18-Datos!V18)/Datos!V18,(Datos!L18+Datos!AF18-(Datos!V18+Datos!AN18))/(Datos!V18+Datos!AN18))
     ),IF(Criterios!B14="SI",(Datos!L18-Datos!V18)/Datos!V18,(Datos!L18+Datos!AF18-(Datos!V18+Datos!AN18))/(Datos!V18+Datos!AN18))," - ")</f>
        <v>-0.16523605150214593</v>
      </c>
      <c r="F18" s="856">
        <f>IF(ISNUMBER((Datos!M18-Datos!W18)/Datos!W18),(Datos!M18-Datos!W18)/Datos!W18," - ")</f>
        <v>-4.1811846689895474E-2</v>
      </c>
      <c r="G18" s="857">
        <f>IF(ISNUMBER((Datos!N18-Datos!X18)/Datos!X18),(Datos!N18-Datos!X18)/Datos!X18," - ")</f>
        <v>0.19155509783728114</v>
      </c>
      <c r="H18" s="857">
        <f>IF(ISNUMBER(((NºAsuntos!G18/NºAsuntos!E18)-Datos!BD18)/Datos!BD18),((NºAsuntos!G18/NºAsuntos!E18)-Datos!BD18)/Datos!BD18," - ")</f>
        <v>-1.7234582024642148E-2</v>
      </c>
      <c r="I18" s="857">
        <f>IF(ISNUMBER(((NºAsuntos!I18/NºAsuntos!G18)-Datos!BE18)/Datos!BE18),((NºAsuntos!I18/NºAsuntos!G18)-Datos!BE18)/Datos!BE18," - ")</f>
        <v>-0.21623373641882224</v>
      </c>
      <c r="J18" s="857">
        <f>IF(ISNUMBER((('Resol  Asuntos'!D18/NºAsuntos!G18)-Datos!BF18)/Datos!BF18),(('Resol  Asuntos'!D18/NºAsuntos!G18)-Datos!BF18)/Datos!BF18," - ")</f>
        <v>-0.1003498053802932</v>
      </c>
      <c r="K18" s="857">
        <f>IF(ISNUMBER((((NºAsuntos!C18+NºAsuntos!E18)/NºAsuntos!G18)-Datos!BG18)/Datos!BG18),(((NºAsuntos!C18+NºAsuntos!E18)/NºAsuntos!G18)-Datos!BG18)/Datos!BG18," - ")</f>
        <v>-8.7884784865121912E-2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-0.18297360306836127</v>
      </c>
      <c r="C19" s="802">
        <f>IF(ISNUMBER(
   IF(J_V="SI",(Datos!J19-Datos!T19)/Datos!T19,(Datos!J19+Datos!Z19-(Datos!T19+Datos!AH19))/(Datos!T19+Datos!AH19))
     ),IF(J_V="SI",(Datos!J19-Datos!T19)/Datos!T19,(Datos!J19+Datos!Z19-(Datos!T19+Datos!AH19))/(Datos!T19+Datos!AH19))," - ")</f>
        <v>0.42418772563176893</v>
      </c>
      <c r="D19" s="802">
        <f>IF(ISNUMBER(
   IF(J_V="SI",(Datos!K19-Datos!U19)/Datos!U19,(Datos!K19+Datos!AA19-(Datos!U19+Datos!AI19))/(Datos!U19+Datos!AI19))
     ),IF(J_V="SI",(Datos!K19-Datos!U19)/Datos!U19,(Datos!K19+Datos!AA19-(Datos!U19+Datos!AI19))/(Datos!U19+Datos!AI19))," - ")</f>
        <v>6.0745211230648126E-2</v>
      </c>
      <c r="E19" s="802">
        <f>IF(ISNUMBER(
   IF(J_V="SI",(Datos!L19-Datos!V19)/Datos!V19,(Datos!L19+Datos!AB19-(Datos!V19+Datos!AJ19))/(Datos!V19+Datos!AJ19))
     ),IF(J_V="SI",(Datos!L19-Datos!V19)/Datos!V19,(Datos!L19+Datos!AB19-(Datos!V19+Datos!AJ19))/(Datos!V19+Datos!AJ19))," - ")</f>
        <v>1.2378152560730311E-2</v>
      </c>
      <c r="F19" s="803">
        <f>IF(ISNUMBER((Datos!M19-Datos!W19)/Datos!W19),(Datos!M19-Datos!W19)/Datos!W19," - ")</f>
        <v>-5.5289508053983458E-2</v>
      </c>
      <c r="G19" s="804">
        <f>IF(ISNUMBER((Datos!N19-Datos!X19)/Datos!X19),(Datos!N19-Datos!X19)/Datos!X19," - ")</f>
        <v>0.24311232213139569</v>
      </c>
      <c r="H19" s="805">
        <f>IF(ISNUMBER((Tasas!B19-Datos!BD19)/Datos!BD19),(Tasas!B19-Datos!BD19)/Datos!BD19," - ")</f>
        <v>-0.25519284281143334</v>
      </c>
      <c r="I19" s="806">
        <f>IF(ISNUMBER((Tasas!C19-Datos!BE19)/Datos!BE19),(Tasas!C19-Datos!BE19)/Datos!BE19," - ")</f>
        <v>-4.5597244425740695E-2</v>
      </c>
      <c r="J19" s="807">
        <f>IF(ISNUMBER((Tasas!D19-Datos!BF19)/Datos!BF19),(Tasas!D19-Datos!BF19)/Datos!BF19," - ")</f>
        <v>5.8867288680953256E-2</v>
      </c>
      <c r="K19" s="807">
        <f>IF(ISNUMBER((Tasas!E19-Datos!BG19)/Datos!BG19),(Tasas!E19-Datos!BG19)/Datos!BG19," - ")</f>
        <v>-2.8661234904048191E-2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Qo3PKXXPmXNBYDX2aCDDFHTW20eRAGwH/6JaOwI0oR/ZqQuasqCvyRC0AGETzK2v6x6M2A6jinf66hCinNudg==" saltValue="ueheNHZNXrIrcvXywlhC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CRISTOBAL DE LA LAGUNA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0.67199620072819377</v>
      </c>
      <c r="C9" s="443">
        <f>IF(ISNUMBER(NºAsuntos!I9/NºAsuntos!G9),NºAsuntos!I9/NºAsuntos!G9," - ")</f>
        <v>2.5029446407538281</v>
      </c>
      <c r="D9" s="444">
        <f>IF(ISNUMBER('Resol  Asuntos'!D9/NºAsuntos!G9),'Resol  Asuntos'!D9/NºAsuntos!G9," - ")</f>
        <v>0.3531213191990577</v>
      </c>
      <c r="E9" s="445">
        <f>IF(ISNUMBER((NºAsuntos!C9+NºAsuntos!E9)/NºAsuntos!G9),(NºAsuntos!C9+NºAsuntos!E9)/NºAsuntos!G9," - ")</f>
        <v>3.5029446407538281</v>
      </c>
      <c r="G9" s="463"/>
    </row>
    <row r="10" spans="1:7">
      <c r="A10" s="402" t="str">
        <f>Datos!A10</f>
        <v>Jdos. Violencia contra la mujer</v>
      </c>
      <c r="B10" s="442">
        <f>IF(ISNUMBER(NºAsuntos!G10/NºAsuntos!E10),NºAsuntos!G10/NºAsuntos!E10," - ")</f>
        <v>1.5</v>
      </c>
      <c r="C10" s="443">
        <f>IF(ISNUMBER(NºAsuntos!I10/NºAsuntos!G10),NºAsuntos!I10/NºAsuntos!G10," - ")</f>
        <v>3.3333333333333335</v>
      </c>
      <c r="D10" s="444">
        <f>IF(ISNUMBER('Resol  Asuntos'!D10/NºAsuntos!G10),'Resol  Asuntos'!D10/NºAsuntos!G10," - ")</f>
        <v>0</v>
      </c>
      <c r="E10" s="445">
        <f>IF(ISNUMBER((NºAsuntos!C10+NºAsuntos!E10)/NºAsuntos!G10),(NºAsuntos!C10+NºAsuntos!E10)/NºAsuntos!G10," - ")</f>
        <v>4.333333333333333</v>
      </c>
      <c r="G10" s="463"/>
    </row>
    <row r="11" spans="1:7">
      <c r="A11" s="402" t="str">
        <f>Datos!A11</f>
        <v xml:space="preserve">Jdos. Familia                                   </v>
      </c>
      <c r="B11" s="442">
        <f>IF(ISNUMBER(NºAsuntos!G11/NºAsuntos!E11),NºAsuntos!G11/NºAsuntos!E11," - ")</f>
        <v>0.66125290023201855</v>
      </c>
      <c r="C11" s="443">
        <f>IF(ISNUMBER(NºAsuntos!I11/NºAsuntos!G11),NºAsuntos!I11/NºAsuntos!G11," - ")</f>
        <v>1.775438596491228</v>
      </c>
      <c r="D11" s="444">
        <f>IF(ISNUMBER('Resol  Asuntos'!D11/NºAsuntos!G11),'Resol  Asuntos'!D11/NºAsuntos!G11," - ")</f>
        <v>0.42456140350877192</v>
      </c>
      <c r="E11" s="445">
        <f>IF(ISNUMBER((NºAsuntos!C11+NºAsuntos!E11)/NºAsuntos!G11),(NºAsuntos!C11+NºAsuntos!E11)/NºAsuntos!G11," - ")</f>
        <v>2.7754385964912283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0.67155555555555557</v>
      </c>
      <c r="C13" s="859">
        <f>IF(ISNUMBER(NºAsuntos!I13/NºAsuntos!G13),NºAsuntos!I13/NºAsuntos!G13," - ")</f>
        <v>2.457754246635782</v>
      </c>
      <c r="D13" s="860">
        <f>IF(ISNUMBER('Resol  Asuntos'!D13/NºAsuntos!G13),'Resol  Asuntos'!D13/NºAsuntos!G13," - ")</f>
        <v>0.35737921906022502</v>
      </c>
      <c r="E13" s="861">
        <f>IF(ISNUMBER((NºAsuntos!C13+NºAsuntos!E13)/NºAsuntos!G13),(NºAsuntos!C13+NºAsuntos!E13)/NºAsuntos!G13," - ")</f>
        <v>3.457754246635782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1.0082691759338467</v>
      </c>
      <c r="C15" s="443">
        <f>IF(ISNUMBER(NºAsuntos!I15/NºAsuntos!G15),NºAsuntos!I15/NºAsuntos!G15," - ")</f>
        <v>0.54666289592760176</v>
      </c>
      <c r="D15" s="444">
        <f>IF(ISNUMBER('Resol  Asuntos'!D15/NºAsuntos!G15),'Resol  Asuntos'!D15/NºAsuntos!G15," - ")</f>
        <v>0.15554298642533937</v>
      </c>
      <c r="E15" s="445">
        <f>IF(ISNUMBER((NºAsuntos!C15+NºAsuntos!E15)/NºAsuntos!G15),(NºAsuntos!C15+NºAsuntos!E15)/NºAsuntos!G15," - ")</f>
        <v>1.532239819004525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0.1875</v>
      </c>
      <c r="D17" s="444">
        <f>IF(ISNUMBER('Resol  Asuntos'!D17/NºAsuntos!G17),'Resol  Asuntos'!D17/NºAsuntos!G17," - ")</f>
        <v>0</v>
      </c>
      <c r="E17" s="445">
        <f>IF(ISNUMBER((NºAsuntos!C17+NºAsuntos!E17)/NºAsuntos!G17),(NºAsuntos!C17+NºAsuntos!E17)/NºAsuntos!G17," - ")</f>
        <v>1.1875</v>
      </c>
      <c r="G17" s="463"/>
    </row>
    <row r="18" spans="1:7" ht="14.25" thickTop="1" thickBot="1">
      <c r="A18" s="848" t="str">
        <f>Datos!A18</f>
        <v>TOTAL</v>
      </c>
      <c r="B18" s="858">
        <f>IF(ISNUMBER(NºAsuntos!G18/NºAsuntos!E18),NºAsuntos!G18/NºAsuntos!E18," - ")</f>
        <v>1.0128314798973481</v>
      </c>
      <c r="C18" s="859">
        <f>IF(ISNUMBER(NºAsuntos!I18/NºAsuntos!G18),NºAsuntos!I18/NºAsuntos!G18," - ")</f>
        <v>0.5475788288288288</v>
      </c>
      <c r="D18" s="862">
        <f>IF(ISNUMBER('Resol  Asuntos'!D18/NºAsuntos!G18),'Resol  Asuntos'!D18/NºAsuntos!G18," - ")</f>
        <v>0.15484234234234234</v>
      </c>
      <c r="E18" s="861">
        <f>IF(ISNUMBER((NºAsuntos!C18+NºAsuntos!E18)/NºAsuntos!G18),(NºAsuntos!C18+NºAsuntos!E18)/NºAsuntos!G18," - ")</f>
        <v>1.5335022522522523</v>
      </c>
      <c r="G18" s="463"/>
    </row>
    <row r="19" spans="1:7" ht="15.75" customHeight="1" thickTop="1" thickBot="1">
      <c r="A19" s="793" t="str">
        <f>Datos!A19</f>
        <v>TOTAL JURISDICCIONES</v>
      </c>
      <c r="B19" s="808">
        <f>IF(ISNUMBER(NºAsuntos!G19/NºAsuntos!E19),NºAsuntos!G19/NºAsuntos!E19," - ")</f>
        <v>0.78824217607487568</v>
      </c>
      <c r="C19" s="809">
        <f>IF(ISNUMBER(NºAsuntos!I19/NºAsuntos!G19),NºAsuntos!I19/NºAsuntos!G19," - ")</f>
        <v>1.6185528756957328</v>
      </c>
      <c r="D19" s="810">
        <f>IF(ISNUMBER('Resol  Asuntos'!D19/NºAsuntos!G19),'Resol  Asuntos'!D19/NºAsuntos!G19," - ")</f>
        <v>0.26839826839826841</v>
      </c>
      <c r="E19" s="811">
        <f>IF(ISNUMBER((NºAsuntos!C19+NºAsuntos!E19)/NºAsuntos!G19),(NºAsuntos!C19+NºAsuntos!E19)/NºAsuntos!G19," - ")</f>
        <v>2.6123685837971551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ax+HbTWuQCQP2JejkGDqJ+hWD9705V/ARJh7f3jVzpF/yK1Lqgt5f0Nz/n+8i+8bFM53GGcOJpT4kY1Y/cQxg==" saltValue="zm0G0wu0N0CKqghbkSIB2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CRISTOBAL DE LA 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986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724</v>
      </c>
      <c r="Y9" s="334">
        <f>SUM(W9:X9)</f>
        <v>724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12252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1499</v>
      </c>
      <c r="AJ9" s="229" t="str">
        <f>IF(ISNUMBER(Datos!BW9),Datos!BW9," - ")</f>
        <v xml:space="preserve"> - </v>
      </c>
      <c r="AK9" s="228" t="str">
        <f>IF(ISNUMBER(Datos!BX9),Datos!BX9," - ")</f>
        <v xml:space="preserve"> - </v>
      </c>
      <c r="AL9" s="243">
        <f>IF(ISNUMBER(NºAsuntos!G9/NºAsuntos!E9),NºAsuntos!G9/NºAsuntos!E9," - ")</f>
        <v>0.67199620072819377</v>
      </c>
      <c r="AM9" s="260">
        <f>IF(ISNUMBER(((NºAsuntos!I9/NºAsuntos!G9)*11)/factor_trimestre),((NºAsuntos!I9/NºAsuntos!G9)*11)/factor_trimestre," - ")</f>
        <v>7.5088339222614842</v>
      </c>
      <c r="AN9" s="244">
        <f>IF(ISNUMBER('Resol  Asuntos'!D9/NºAsuntos!G9),'Resol  Asuntos'!D9/NºAsuntos!G9," - ")</f>
        <v>0.3531213191990577</v>
      </c>
      <c r="AO9" s="245">
        <f>IF(ISNUMBER((NºAsuntos!C9+NºAsuntos!E9)/NºAsuntos!G9),(NºAsuntos!C9+NºAsuntos!E9)/NºAsuntos!G9," - ")</f>
        <v>3.5029446407538281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10</v>
      </c>
      <c r="AB10" s="334">
        <f>IF(ISNUMBER(Datos!R10),Datos!R10," - ")</f>
        <v>65</v>
      </c>
      <c r="AC10" s="334">
        <f t="shared" ref="AC10:AC12" si="1">IF(ISNUMBER(AA10+AB10),AA10+AB10," - ")</f>
        <v>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10.000000000000002</v>
      </c>
      <c r="AN10" s="244">
        <f>IF(ISNUMBER('Resol  Asuntos'!D10/NºAsuntos!G10),'Resol  Asuntos'!D10/NºAsuntos!G10," - ")</f>
        <v>0</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121</v>
      </c>
      <c r="AJ11" s="231" t="str">
        <f>IF(ISNUMBER(Datos!BW11),Datos!BW11," - ")</f>
        <v xml:space="preserve"> - </v>
      </c>
      <c r="AK11" s="232" t="str">
        <f>IF(ISNUMBER(Datos!BX11),Datos!BX11," - ")</f>
        <v xml:space="preserve"> - </v>
      </c>
      <c r="AL11" s="243">
        <f>IF(ISNUMBER(NºAsuntos!G11/NºAsuntos!E11),NºAsuntos!G11/NºAsuntos!E11," - ")</f>
        <v>0.66125290023201855</v>
      </c>
      <c r="AM11" s="260">
        <f>IF(ISNUMBER(((NºAsuntos!I11/NºAsuntos!G11)*11)/factor_trimestre),((NºAsuntos!I11/NºAsuntos!G11)*11)/factor_trimestre," - ")</f>
        <v>5.3263157894736839</v>
      </c>
      <c r="AN11" s="244">
        <f>IF(ISNUMBER('Resol  Asuntos'!D11/NºAsuntos!G11),'Resol  Asuntos'!D11/NºAsuntos!G11," - ")</f>
        <v>0.42456140350877192</v>
      </c>
      <c r="AO11" s="245">
        <f>IF(ISNUMBER((NºAsuntos!C11+NºAsuntos!E11)/NºAsuntos!G11),(NºAsuntos!C11+NºAsuntos!E11)/NºAsuntos!G11," - ")</f>
        <v>2.7754385964912283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v>
      </c>
      <c r="G13" s="866">
        <f t="shared" si="3"/>
        <v>11</v>
      </c>
      <c r="H13" s="865">
        <f t="shared" si="3"/>
        <v>0</v>
      </c>
      <c r="I13" s="867">
        <f t="shared" si="3"/>
        <v>0</v>
      </c>
      <c r="J13" s="867">
        <f t="shared" si="3"/>
        <v>0</v>
      </c>
      <c r="K13" s="867">
        <f t="shared" si="3"/>
        <v>0</v>
      </c>
      <c r="L13" s="867">
        <f t="shared" si="3"/>
        <v>986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724</v>
      </c>
      <c r="Y13" s="868">
        <f t="shared" si="4"/>
        <v>727</v>
      </c>
      <c r="Z13" s="868">
        <f t="shared" si="4"/>
        <v>0</v>
      </c>
      <c r="AA13" s="868">
        <f t="shared" si="4"/>
        <v>10</v>
      </c>
      <c r="AB13" s="868">
        <f t="shared" si="4"/>
        <v>12317</v>
      </c>
      <c r="AC13" s="868">
        <f t="shared" si="4"/>
        <v>75</v>
      </c>
      <c r="AD13" s="868">
        <f t="shared" si="4"/>
        <v>0</v>
      </c>
      <c r="AE13" s="872">
        <f t="shared" si="4"/>
        <v>0</v>
      </c>
      <c r="AF13" s="865">
        <f t="shared" si="4"/>
        <v>0</v>
      </c>
      <c r="AG13" s="873">
        <f t="shared" si="4"/>
        <v>0</v>
      </c>
      <c r="AH13" s="870">
        <f t="shared" si="4"/>
        <v>0</v>
      </c>
      <c r="AI13" s="865">
        <f t="shared" si="4"/>
        <v>1620</v>
      </c>
      <c r="AJ13" s="867">
        <f t="shared" si="4"/>
        <v>0</v>
      </c>
      <c r="AK13" s="870">
        <f>SUBTOTAL(9,AK9:AK12)</f>
        <v>0</v>
      </c>
      <c r="AL13" s="874">
        <f>IF(ISNUMBER(NºAsuntos!G13/NºAsuntos!E13),NºAsuntos!G13/NºAsuntos!E13," - ")</f>
        <v>0.67155555555555557</v>
      </c>
      <c r="AM13" s="874">
        <f>IF(ISNUMBER(((NºAsuntos!I13/NºAsuntos!G13)*11)/factor_trimestre),((NºAsuntos!I13/NºAsuntos!G13)*11)/factor_trimestre," - ")</f>
        <v>7.3732627399073465</v>
      </c>
      <c r="AN13" s="875">
        <f>IF(ISNUMBER('Resol  Asuntos'!D13/NºAsuntos!G13),'Resol  Asuntos'!D13/NºAsuntos!G13," - ")</f>
        <v>0.35737921906022502</v>
      </c>
      <c r="AO13" s="876">
        <f>IF(ISNUMBER((NºAsuntos!C13+NºAsuntos!E13)/NºAsuntos!G13),(NºAsuntos!C13+NºAsuntos!E13)/NºAsuntos!G13," - ")</f>
        <v>3.457754246635782</v>
      </c>
      <c r="AP13" s="877" t="str">
        <f t="shared" si="2"/>
        <v xml:space="preserve"> - </v>
      </c>
      <c r="AQ13" s="877">
        <f>IF(ISNUMBER((H13-W13+K13)/(F13)),(H13-W13+K13)/(F13)," - ")</f>
        <v>-0.27272727272727271</v>
      </c>
      <c r="AR13" s="878">
        <f>IF(ISNUMBER((Datos!P13-Datos!Q13)/(Datos!R13-Datos!P13+Datos!Q13)),(Datos!P13-Datos!Q13)/(Datos!R13-Datos!P13+Datos!Q13)," - ")</f>
        <v>2.173372044794691E-2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1962</v>
      </c>
      <c r="G15" s="333">
        <f>IF(ISNUMBER(IF(D_I="SI",Datos!I15,Datos!I15+Datos!AC15)),IF(D_I="SI",Datos!I15,Datos!I15+Datos!AC15)," - ")</f>
        <v>1911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3536</v>
      </c>
      <c r="X15" s="226">
        <f>IF(ISNUMBER(Datos!Q15),Datos!Q15," - ")</f>
        <v>126</v>
      </c>
      <c r="Y15" s="334">
        <f>SUM(W15)</f>
        <v>3536</v>
      </c>
      <c r="Z15" s="335" t="str">
        <f>IF(ISNUMBER(Datos!CC15),Datos!CC15," - ")</f>
        <v xml:space="preserve"> - </v>
      </c>
      <c r="AA15" s="332">
        <f>IF(ISNUMBER(IF(D_I="SI",Datos!L15,Datos!L15+Datos!AF15)),IF(D_I="SI",Datos!L15,Datos!L15+Datos!AF15)," - ")</f>
        <v>1933</v>
      </c>
      <c r="AB15" s="334">
        <f>IF(ISNUMBER(Datos!R15),Datos!R15," - ")</f>
        <v>424</v>
      </c>
      <c r="AC15" s="334">
        <f t="shared" ref="AC15:AC17" si="6">IF(ISNUMBER(AA15+AB15),AA15+AB15," - ")</f>
        <v>2357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550</v>
      </c>
      <c r="AJ15" s="231" t="str">
        <f>IF(ISNUMBER(Datos!BW15),Datos!BW15," - ")</f>
        <v xml:space="preserve"> - </v>
      </c>
      <c r="AK15" s="232" t="str">
        <f>IF(ISNUMBER(Datos!BX15),Datos!BX15," - ")</f>
        <v xml:space="preserve"> - </v>
      </c>
      <c r="AL15" s="243">
        <f>IF(ISNUMBER(NºAsuntos!G15/NºAsuntos!E15),NºAsuntos!G15/NºAsuntos!E15," - ")</f>
        <v>1.0082691759338467</v>
      </c>
      <c r="AM15" s="260">
        <f>IF(ISNUMBER(((NºAsuntos!I15/NºAsuntos!G15)*11)/factor_trimestre),((NºAsuntos!I15/NºAsuntos!G15)*11)/factor_trimestre," - ")</f>
        <v>1.6399886877828054</v>
      </c>
      <c r="AN15" s="244">
        <f>IF(ISNUMBER('Resol  Asuntos'!D15/NºAsuntos!G15),'Resol  Asuntos'!D15/NºAsuntos!G15," - ")</f>
        <v>0.15554298642533937</v>
      </c>
      <c r="AO15" s="245">
        <f>IF(ISNUMBER((NºAsuntos!C15+NºAsuntos!E15)/NºAsuntos!G15),(NºAsuntos!C15+NºAsuntos!E15)/NºAsuntos!G15," - ")</f>
        <v>1.532239819004525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9</v>
      </c>
      <c r="G16" s="333">
        <f>IF(ISNUMBER(IF(D_I="SI",Datos!I16,Datos!I16+Datos!AC16)),IF(D_I="SI",Datos!I16,Datos!I16+Datos!AC16)," - ")</f>
        <v>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9</v>
      </c>
      <c r="AB16" s="334">
        <f>IF(ISNUMBER(Datos!R16),Datos!R16," - ")</f>
        <v>0</v>
      </c>
      <c r="AC16" s="334">
        <f t="shared" si="6"/>
        <v>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1</v>
      </c>
      <c r="Y17" s="334">
        <f t="shared" si="7"/>
        <v>17</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0.5625</v>
      </c>
      <c r="AN17" s="244">
        <f>IF(ISNUMBER('Resol  Asuntos'!D17/NºAsuntos!G17),'Resol  Asuntos'!D17/NºAsuntos!G17," - ")</f>
        <v>0</v>
      </c>
      <c r="AO17" s="245">
        <f>IF(ISNUMBER((NºAsuntos!C17+NºAsuntos!E17)/NºAsuntos!G17),(NºAsuntos!C17+NºAsuntos!E17)/NºAsuntos!G17," - ")</f>
        <v>1.1875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1971</v>
      </c>
      <c r="G18" s="866">
        <f>SUBTOTAL(9,G15:G17)</f>
        <v>1940</v>
      </c>
      <c r="H18" s="865">
        <f t="shared" ref="H18:O18" si="10">SUBTOTAL(9,H14:H17)</f>
        <v>0</v>
      </c>
      <c r="I18" s="867">
        <f t="shared" si="10"/>
        <v>0</v>
      </c>
      <c r="J18" s="867">
        <f t="shared" si="10"/>
        <v>0</v>
      </c>
      <c r="K18" s="867">
        <f t="shared" si="10"/>
        <v>0</v>
      </c>
      <c r="L18" s="867">
        <f t="shared" si="10"/>
        <v>120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3552</v>
      </c>
      <c r="X18" s="867">
        <f t="shared" si="11"/>
        <v>127</v>
      </c>
      <c r="Y18" s="868">
        <f t="shared" si="11"/>
        <v>3553</v>
      </c>
      <c r="Z18" s="868">
        <f t="shared" si="11"/>
        <v>0</v>
      </c>
      <c r="AA18" s="868">
        <f t="shared" si="11"/>
        <v>1945</v>
      </c>
      <c r="AB18" s="868">
        <f t="shared" si="11"/>
        <v>424</v>
      </c>
      <c r="AC18" s="868">
        <f t="shared" si="11"/>
        <v>2369</v>
      </c>
      <c r="AD18" s="868">
        <f t="shared" si="11"/>
        <v>0</v>
      </c>
      <c r="AE18" s="872">
        <f t="shared" si="11"/>
        <v>0</v>
      </c>
      <c r="AF18" s="865">
        <f t="shared" si="11"/>
        <v>0</v>
      </c>
      <c r="AG18" s="873">
        <f t="shared" si="11"/>
        <v>0</v>
      </c>
      <c r="AH18" s="870">
        <f t="shared" si="11"/>
        <v>0</v>
      </c>
      <c r="AI18" s="865">
        <f t="shared" si="11"/>
        <v>550</v>
      </c>
      <c r="AJ18" s="867">
        <f t="shared" si="11"/>
        <v>0</v>
      </c>
      <c r="AK18" s="870">
        <f t="shared" si="11"/>
        <v>0</v>
      </c>
      <c r="AL18" s="874">
        <f>IF(ISNUMBER(NºAsuntos!G18/NºAsuntos!E18),NºAsuntos!G18/NºAsuntos!E18," - ")</f>
        <v>1.0128314798973481</v>
      </c>
      <c r="AM18" s="874">
        <f>IF(ISNUMBER(((NºAsuntos!I18/NºAsuntos!G18)*11)/factor_trimestre),((NºAsuntos!I18/NºAsuntos!G18)*11)/factor_trimestre," - ")</f>
        <v>1.6427364864864864</v>
      </c>
      <c r="AN18" s="875">
        <f>IF(ISNUMBER('Resol  Asuntos'!D18/NºAsuntos!G18),'Resol  Asuntos'!D18/NºAsuntos!G18," - ")</f>
        <v>0.15484234234234234</v>
      </c>
      <c r="AO18" s="876">
        <f>IF(ISNUMBER((NºAsuntos!C18+NºAsuntos!E18)/NºAsuntos!G18),(NºAsuntos!C18+NºAsuntos!E18)/NºAsuntos!G18," - ")</f>
        <v>1.5335022522522523</v>
      </c>
      <c r="AP18" s="877" t="str">
        <f t="shared" si="2"/>
        <v xml:space="preserve"> - </v>
      </c>
      <c r="AQ18" s="877">
        <f>IF(ISNUMBER((H18-W18+K18)/(F18)),(H18-W18+K18)/(F18)," - ")</f>
        <v>-1.8021308980213089</v>
      </c>
      <c r="AR18" s="878">
        <f>IF(ISNUMBER((Datos!P18-Datos!Q18)/(Datos!R18-Datos!P18+Datos!Q18)),(Datos!P18-Datos!Q18)/(Datos!R18-Datos!P18+Datos!Q18)," - ")</f>
        <v>-1.6241299303944315E-2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1982</v>
      </c>
      <c r="G19" s="821">
        <f t="shared" si="13"/>
        <v>1951</v>
      </c>
      <c r="H19" s="820">
        <f t="shared" si="13"/>
        <v>0</v>
      </c>
      <c r="I19" s="822">
        <f t="shared" si="13"/>
        <v>0</v>
      </c>
      <c r="J19" s="822">
        <f t="shared" si="13"/>
        <v>0</v>
      </c>
      <c r="K19" s="881">
        <f t="shared" si="13"/>
        <v>0</v>
      </c>
      <c r="L19" s="822">
        <f t="shared" si="13"/>
        <v>1106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3555</v>
      </c>
      <c r="X19" s="821">
        <f t="shared" si="14"/>
        <v>851</v>
      </c>
      <c r="Y19" s="828">
        <f t="shared" si="14"/>
        <v>4280</v>
      </c>
      <c r="Z19" s="828">
        <f t="shared" si="14"/>
        <v>0</v>
      </c>
      <c r="AA19" s="828">
        <f t="shared" si="14"/>
        <v>1955</v>
      </c>
      <c r="AB19" s="828">
        <f t="shared" si="14"/>
        <v>12741</v>
      </c>
      <c r="AC19" s="828">
        <f t="shared" si="14"/>
        <v>2444</v>
      </c>
      <c r="AD19" s="828">
        <f t="shared" si="14"/>
        <v>0</v>
      </c>
      <c r="AE19" s="830">
        <f t="shared" si="14"/>
        <v>0</v>
      </c>
      <c r="AF19" s="831">
        <f t="shared" si="14"/>
        <v>0</v>
      </c>
      <c r="AG19" s="832">
        <f t="shared" si="14"/>
        <v>0</v>
      </c>
      <c r="AH19" s="830">
        <f t="shared" si="14"/>
        <v>0</v>
      </c>
      <c r="AI19" s="820">
        <f t="shared" si="14"/>
        <v>2170</v>
      </c>
      <c r="AJ19" s="820">
        <f t="shared" si="14"/>
        <v>0</v>
      </c>
      <c r="AK19" s="830">
        <f t="shared" si="14"/>
        <v>0</v>
      </c>
      <c r="AL19" s="884">
        <f>IF(ISNUMBER(NºAsuntos!G19/NºAsuntos!E19),NºAsuntos!G19/NºAsuntos!E19," - ")</f>
        <v>0.78824217607487568</v>
      </c>
      <c r="AM19" s="885">
        <f>IF(ISNUMBER(((NºAsuntos!I19/NºAsuntos!G19)*11)/factor_trimestre),((NºAsuntos!I19/NºAsuntos!G19)*11)/factor_trimestre," - ")</f>
        <v>4.8556586270871991</v>
      </c>
      <c r="AN19" s="885">
        <f>IF(ISNUMBER('Resol  Asuntos'!D19/NºAsuntos!G19),'Resol  Asuntos'!D19/NºAsuntos!G19," - ")</f>
        <v>0.26839826839826841</v>
      </c>
      <c r="AO19" s="886">
        <f>IF(ISNUMBER((NºAsuntos!C19+NºAsuntos!E19)/NºAsuntos!G19),(NºAsuntos!C19+NºAsuntos!E19)/NºAsuntos!G19," - ")</f>
        <v>2.6123685837971551</v>
      </c>
      <c r="AP19" s="887" t="str">
        <f t="shared" si="2"/>
        <v xml:space="preserve"> - </v>
      </c>
      <c r="AQ19" s="888">
        <f>IF(OR(ISNUMBER(FIND("01",Criterios!A8,1)),ISNUMBER(FIND("02",Criterios!A8,1)),ISNUMBER(FIND("03",Criterios!A8,1)),ISNUMBER(FIND("04",Criterios!A8,1))),(I19-W19+K19)/(F19-K19),(H19-W19+K19)/(F19-K19))</f>
        <v>-1.7936427850655903</v>
      </c>
      <c r="AR19" s="889">
        <f>IF(ISNUMBER((Datos!P19-Datos!Q19)/(Datos!R19-Datos!P19+Datos!Q19)),(Datos!P19-Datos!Q19)/(Datos!R19-Datos!P19+Datos!Q19)," - ")</f>
        <v>2.0422873618452669E-2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650.33333333333337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3.2015621187164243</v>
      </c>
      <c r="F21" s="252">
        <f>IF(ISNUMBER(STDEV(F8:F18)),STDEV(F8:F18),"-")</f>
        <v>1071.4416456345161</v>
      </c>
      <c r="G21" s="253">
        <f>IF(ISNUMBER(STDEV(G8:G18)),STDEV(G8:G18),"-")</f>
        <v>987.78776397901731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1827.2889207785395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669.39119461535449</v>
      </c>
      <c r="AJ21" s="252">
        <f t="shared" si="18"/>
        <v>0</v>
      </c>
      <c r="AK21" s="254">
        <f t="shared" si="18"/>
        <v>0</v>
      </c>
      <c r="AL21" s="249">
        <f t="shared" si="18"/>
        <v>0.32954025764021239</v>
      </c>
      <c r="AM21" s="250">
        <f t="shared" si="18"/>
        <v>3.632204636714532</v>
      </c>
      <c r="AN21" s="250">
        <f t="shared" si="18"/>
        <v>0.17433815614012671</v>
      </c>
      <c r="AO21" s="251">
        <f t="shared" si="18"/>
        <v>1.2149628807752759</v>
      </c>
      <c r="AP21" s="291" t="str">
        <f t="shared" si="18"/>
        <v>-</v>
      </c>
      <c r="AQ21" s="292">
        <f t="shared" si="18"/>
        <v>1.0814516746167027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ClhwOmJZLOyWKXv6Q0aH+P3gVJH5NahkyrPROce2PeAjoLtqZ4LYx7a3ny0vsTuGX6VRJsxyaozbQnbUMEp3w==" saltValue="n8lahqwQO5ZM9adUF4XW8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CRISTOBAL DE LA LAGUNA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-0.13000580383052815</v>
      </c>
      <c r="I9" s="350">
        <f>IF(ISNUMBER((Tasas!C9-Datos!BE9)/Datos!BE9),(Tasas!C9-Datos!BE9)/Datos!BE9," - ")</f>
        <v>1.2674228056623918E-2</v>
      </c>
      <c r="J9" s="349">
        <f>IF(ISNUMBER((Tasas!D9-Datos!BF9)/Datos!BF9),(Tasas!D9-Datos!BF9)/Datos!BF9," - ")</f>
        <v>0.113190255884511</v>
      </c>
      <c r="K9" s="351">
        <f>IF(ISNUMBER((Tasas!E9-Datos!BG9)/Datos!BG9),(Tasas!E9-Datos!BG9)/Datos!BG9," - ")</f>
        <v>8.4127501221933632E-3</v>
      </c>
      <c r="M9" t="e">
        <f>IF(Monitorios="SI",Datos!CE9,0)</f>
        <v>#REF!</v>
      </c>
      <c r="N9" t="e">
        <f>IF(Monitorios="SI",Datos!CF9,0)</f>
        <v>#REF!</v>
      </c>
      <c r="O9" t="e">
        <f>IF(Monitorios="SI",Datos!CG9,0)</f>
        <v>#REF!</v>
      </c>
      <c r="P9" t="e">
        <f>IF(Monitorios="SI",Datos!CH9,0)</f>
        <v>#REF!</v>
      </c>
      <c r="Q9">
        <f>IF(J_V="SI",0,Datos!AG9)</f>
        <v>171</v>
      </c>
      <c r="R9">
        <f>IF(J_V="SI",0,Datos!AH9)</f>
        <v>138</v>
      </c>
      <c r="S9">
        <f>IF(J_V="SI",0,Datos!AI9)</f>
        <v>146</v>
      </c>
      <c r="T9">
        <f>IF(J_V="SI",0,Datos!AJ9)</f>
        <v>154</v>
      </c>
    </row>
    <row r="10" spans="2:20" ht="14.25">
      <c r="B10" s="275" t="s">
        <v>246</v>
      </c>
      <c r="C10" s="7" t="str">
        <f>Datos!A10</f>
        <v>Jdos. Violencia contra la mujer</v>
      </c>
      <c r="D10" s="352">
        <f>IF(ISNUMBER((Datos!I10-Datos!S10)/Datos!S10),(Datos!I10-Datos!S10)/Datos!S10," - ")</f>
        <v>-0.21428571428571427</v>
      </c>
      <c r="E10" s="348">
        <f>IF(ISNUMBER((Datos!J10-Datos!T10)/Datos!T10),(Datos!J10-Datos!T10)/Datos!T10," - ")</f>
        <v>-0.7142857142857143</v>
      </c>
      <c r="F10" s="348">
        <f>IF(ISNUMBER((Datos!K10-Datos!U10)/Datos!U10),(Datos!K10-Datos!U10)/Datos!U10," - ")</f>
        <v>-0.5</v>
      </c>
      <c r="G10" s="349">
        <f>IF(ISNUMBER((Datos!L10-Datos!V10)/Datos!V10),(Datos!L10-Datos!V10)/Datos!V10," - ")</f>
        <v>-0.33333333333333331</v>
      </c>
      <c r="H10" s="230" t="str">
        <f>IF(ISNUMBER((Datos!M10-Datos!W10)/Datos!W10),(Datos!M10-Datos!W10)/Datos!W10," - ")</f>
        <v xml:space="preserve"> - </v>
      </c>
      <c r="I10" s="350">
        <f>IF(ISNUMBER((Tasas!C10-Datos!BE10)/Datos!BE10),(Tasas!C10-Datos!BE10)/Datos!BE10," - ")</f>
        <v>0.33333333333333337</v>
      </c>
      <c r="J10" s="349" t="str">
        <f>IF(ISNUMBER((Tasas!D10-Datos!BF10)/Datos!BF10),(Tasas!D10-Datos!BF10)/Datos!BF10," - ")</f>
        <v xml:space="preserve"> - </v>
      </c>
      <c r="K10" s="351">
        <f>IF(ISNUMBER((Tasas!E10-Datos!BG10)/Datos!BG10),(Tasas!E10-Datos!BG10)/Datos!BG10," - ")</f>
        <v>0.238095238095238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-5.9779454439930352E-2</v>
      </c>
      <c r="I13" s="357">
        <f>IF(ISNUMBER((Tasas!C13-Datos!BE13)/Datos!BE13),(Tasas!C13-Datos!BE13)/Datos!BE13," - ")</f>
        <v>-5.6254760921483045E-3</v>
      </c>
      <c r="J13" s="355">
        <f>IF(ISNUMBER((Tasas!D13-Datos!BF13)/Datos!BF13),(Tasas!D13-Datos!BF13)/Datos!BF13," - ")</f>
        <v>0.12819198240882518</v>
      </c>
      <c r="K13" s="358">
        <f>IF(ISNUMBER((Tasas!E13-Datos!BG13)/Datos!BG13),(Tasas!E13-Datos!BG13)/Datos!BG13," - ")</f>
        <v>-4.6070067601666452E-3</v>
      </c>
      <c r="M13" t="e">
        <f>IF(Monitorios="SI",Datos!CE13,0)</f>
        <v>#REF!</v>
      </c>
      <c r="N13" t="e">
        <f>IF(Monitorios="SI",Datos!CF13,0)</f>
        <v>#REF!</v>
      </c>
      <c r="O13" t="e">
        <f>IF(Monitorios="SI",Datos!CG13,0)</f>
        <v>#REF!</v>
      </c>
      <c r="P13" t="e">
        <f>IF(Monitorios="SI",Datos!CH13,0)</f>
        <v>#REF!</v>
      </c>
      <c r="Q13">
        <f>IF(J_V="SI",0,Datos!AG13)</f>
        <v>171</v>
      </c>
      <c r="R13">
        <f>IF(J_V="SI",0,Datos!AH13)</f>
        <v>138</v>
      </c>
      <c r="S13">
        <f>IF(J_V="SI",0,Datos!AI13)</f>
        <v>146</v>
      </c>
      <c r="T13">
        <f>IF(J_V="SI",0,Datos!AJ13)</f>
        <v>154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-0.17806451612903226</v>
      </c>
      <c r="E15" s="348">
        <f>IF(ISNUMBER(
   IF(D_I="SI",(Datos!J15-Datos!T15)/Datos!T15,(Datos!J15+Datos!AD15-(Datos!T15+Datos!AL15))/(Datos!T15+Datos!AL15))
     ),IF(D_I="SI",(Datos!J15-Datos!T15)/Datos!T15,(Datos!J15+Datos!AD15-(Datos!T15+Datos!AL15))/(Datos!T15+Datos!AL15))," - ")</f>
        <v>8.4415584415584416E-2</v>
      </c>
      <c r="F15" s="348">
        <f>IF(ISNUMBER(
   IF(D_I="SI",(Datos!K15-Datos!U15)/Datos!U15,(Datos!K15+Datos!AE15-(Datos!U15+Datos!AM15))/(Datos!U15+Datos!AM15))
     ),IF(D_I="SI",(Datos!K15-Datos!U15)/Datos!U15,(Datos!K15+Datos!AE15-(Datos!U15+Datos!AM15))/(Datos!U15+Datos!AM15))," - ")</f>
        <v>6.2180835085611293E-2</v>
      </c>
      <c r="G15" s="349">
        <f>IF(ISNUMBER(
   IF(D_I="SI",(Datos!L15-Datos!V15)/Datos!V15,(Datos!L15+Datos!AF15-(Datos!V15+Datos!AN15))/(Datos!V15+Datos!AN15))
     ),IF(D_I="SI",(Datos!L15-Datos!V15)/Datos!V15,(Datos!L15+Datos!AF15-(Datos!V15+Datos!AN15))/(Datos!V15+Datos!AN15))," - ")</f>
        <v>-0.15515734265734266</v>
      </c>
      <c r="H15" s="230">
        <f>IF(ISNUMBER((Datos!M15-Datos!W15)/Datos!W15),(Datos!M15-Datos!W15)/Datos!W15," - ")</f>
        <v>-4.1811846689895474E-2</v>
      </c>
      <c r="I15" s="350">
        <f>IF(ISNUMBER((Tasas!C15-Datos!BE15)/Datos!BE15),(Tasas!C15-Datos!BE15)/Datos!BE15," - ")</f>
        <v>-0.20461504346897455</v>
      </c>
      <c r="J15" s="349">
        <f>IF(ISNUMBER((Tasas!D15-Datos!BF15)/Datos!BF15),(Tasas!D15-Datos!BF15)/Datos!BF15," - ")</f>
        <v>-9.7904874895549179E-2</v>
      </c>
      <c r="K15" s="351">
        <f>IF(ISNUMBER((Tasas!E15-Datos!BG15)/Datos!BG15),(Tasas!E15-Datos!BG15)/Datos!BG15," - ")</f>
        <v>-8.2420155159909358E-2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-0.47222222222222221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1.6666666666666667</v>
      </c>
      <c r="G17" s="349">
        <f>IF(ISNUMBER(
   IF(D_I="SI",(Datos!L17-Datos!V17)/Datos!V17,(Datos!L17+Datos!AF17-(Datos!V17+Datos!AN17))/(Datos!V17+Datos!AN17))
     ),IF(D_I="SI",(Datos!L17-Datos!V17)/Datos!V17,(Datos!L17+Datos!AF17-(Datos!V17+Datos!AN17))/(Datos!V17+Datos!AN17))," - ")</f>
        <v>-0.90625</v>
      </c>
      <c r="H17" s="230" t="str">
        <f>IF(ISNUMBER((Datos!M17-Datos!W17)/Datos!W17),(Datos!M17-Datos!W17)/Datos!W17," - ")</f>
        <v xml:space="preserve"> - </v>
      </c>
      <c r="I17" s="350">
        <f>IF(ISNUMBER((Tasas!C17-Datos!BE17)/Datos!BE17),(Tasas!C17-Datos!BE17)/Datos!BE17," - ")</f>
        <v>-0.96484375</v>
      </c>
      <c r="J17" s="349" t="str">
        <f>IF(ISNUMBER((Tasas!D17-Datos!BF17)/Datos!BF17),(Tasas!D17-Datos!BF17)/Datos!BF17," - ")</f>
        <v xml:space="preserve"> - </v>
      </c>
      <c r="K17" s="351">
        <f>IF(ISNUMBER((Tasas!E17-Datos!BG17)/Datos!BG17),(Tasas!E17-Datos!BG17)/Datos!BG17," - ")</f>
        <v>-0.8125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-0.1817798397300717</v>
      </c>
      <c r="E18" s="354">
        <f>IF(ISNUMBER(
   IF(D_I="SI",(Datos!J18-Datos!T18)/Datos!T18,(Datos!J18+Datos!AD18-(Datos!T18+Datos!AL18))/(Datos!T18+Datos!AL18))
     ),IF(D_I="SI",(Datos!J18-Datos!T18)/Datos!T18,(Datos!J18+Datos!AD18-(Datos!T18+Datos!AL18))/(Datos!T18+Datos!AL18))," - ")</f>
        <v>8.3745364647713233E-2</v>
      </c>
      <c r="F18" s="354">
        <f>IF(ISNUMBER(
   IF(D_I="SI",(Datos!K18-Datos!U18)/Datos!U18,(Datos!K18+Datos!AE18-(Datos!U18+Datos!AM18))/(Datos!U18+Datos!AM18))
     ),IF(D_I="SI",(Datos!K18-Datos!U18)/Datos!U18,(Datos!K18+Datos!AE18-(Datos!U18+Datos!AM18))/(Datos!U18+Datos!AM18))," - ")</f>
        <v>6.5067466266866561E-2</v>
      </c>
      <c r="G18" s="355">
        <f>IF(ISNUMBER(
   IF(D_I="SI",(Datos!L18-Datos!V18)/Datos!V18,(Datos!L18+Datos!AF18-(Datos!V18+Datos!AN18))/(Datos!V18+Datos!AN18))
     ),IF(D_I="SI",(Datos!L18-Datos!V18)/Datos!V18,(Datos!L18+Datos!AF18-(Datos!V18+Datos!AN18))/(Datos!V18+Datos!AN18))," - ")</f>
        <v>-0.16523605150214593</v>
      </c>
      <c r="H18" s="356">
        <f>IF(ISNUMBER((Datos!M18-Datos!W18)/Datos!W18),(Datos!M18-Datos!W18)/Datos!W18," - ")</f>
        <v>-4.1811846689895474E-2</v>
      </c>
      <c r="I18" s="357">
        <f>IF(ISNUMBER((Tasas!C18-Datos!BE18)/Datos!BE18),(Tasas!C18-Datos!BE18)/Datos!BE18," - ")</f>
        <v>-0.21623373641882224</v>
      </c>
      <c r="J18" s="355">
        <f>IF(ISNUMBER((Tasas!D18-Datos!BF18)/Datos!BF18),(Tasas!D18-Datos!BF18)/Datos!BF18," - ")</f>
        <v>-0.1003498053802932</v>
      </c>
      <c r="K18" s="358">
        <f>IF(ISNUMBER((Tasas!E18-Datos!BG18)/Datos!BG18),(Tasas!E18-Datos!BG18)/Datos!BG18," - ")</f>
        <v>-8.7884784865121912E-2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-0.18297360306836127</v>
      </c>
      <c r="E19" s="363">
        <f>IF(ISNUMBER(
   IF(J_V="SI",(Datos!J19-Datos!T19)/Datos!T19,(Datos!J19+Datos!Z19-(Datos!T19+Datos!AH19))/(Datos!T19+Datos!AH19))
     ),IF(J_V="SI",(Datos!J19-Datos!T19)/Datos!T19,(Datos!J19+Datos!Z19-(Datos!T19+Datos!AH19))/(Datos!T19+Datos!AH19))," - ")</f>
        <v>0.42418772563176893</v>
      </c>
      <c r="F19" s="363">
        <f>IF(ISNUMBER(
   IF(J_V="SI",(Datos!K19-Datos!U19)/Datos!U19,(Datos!K19+Datos!AA19-(Datos!U19+Datos!AI19))/(Datos!U19+Datos!AI19))
     ),IF(J_V="SI",(Datos!K19-Datos!U19)/Datos!U19,(Datos!K19+Datos!AA19-(Datos!U19+Datos!AI19))/(Datos!U19+Datos!AI19))," - ")</f>
        <v>6.0745211230648126E-2</v>
      </c>
      <c r="G19" s="364">
        <f>IF(ISNUMBER(
   IF(J_V="SI",(Datos!L19-Datos!V19)/Datos!V19,(Datos!L19+Datos!AB19-(Datos!V19+Datos!AJ19))/(Datos!V19+Datos!AJ19))
     ),IF(J_V="SI",(Datos!L19-Datos!V19)/Datos!V19,(Datos!L19+Datos!AB19-(Datos!V19+Datos!AJ19))/(Datos!V19+Datos!AJ19))," - ")</f>
        <v>1.2378152560730311E-2</v>
      </c>
      <c r="H19" s="365">
        <f>IF(ISNUMBER((Datos!M19-Datos!W19)/Datos!W19),(Datos!M19-Datos!W19)/Datos!W19," - ")</f>
        <v>-5.5289508053983458E-2</v>
      </c>
      <c r="I19" s="362">
        <f>IF(ISNUMBER((Tasas!C19-Datos!BE19)/Datos!BE19),(Tasas!C19-Datos!BE19)/Datos!BE19," - ")</f>
        <v>-4.5597244425740695E-2</v>
      </c>
      <c r="J19" s="363">
        <f>IF(ISNUMBER((Tasas!D19-Datos!BF19)/Datos!BF19),(Tasas!D19-Datos!BF19)/Datos!BF19," - ")</f>
        <v>5.8867288680953256E-2</v>
      </c>
      <c r="K19" s="364">
        <f>IF(ISNUMBER((Tasas!E19-Datos!BG19)/Datos!BG19),(Tasas!E19-Datos!BG19)/Datos!BG19," - ")</f>
        <v>-2.8661234904048191E-2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0.16933137083514493</v>
      </c>
      <c r="E21" s="278">
        <f t="shared" si="1"/>
        <v>0.55579310035789942</v>
      </c>
      <c r="F21" s="278">
        <f t="shared" si="1"/>
        <v>0.93404568465718274</v>
      </c>
      <c r="G21" s="279">
        <f t="shared" si="1"/>
        <v>0.33266814550842677</v>
      </c>
      <c r="H21" s="285">
        <f t="shared" si="1"/>
        <v>4.1966016169332467E-2</v>
      </c>
      <c r="I21" s="277">
        <f t="shared" si="1"/>
        <v>0.43560047725285389</v>
      </c>
      <c r="J21" s="278">
        <f t="shared" si="1"/>
        <v>0.12706385505477605</v>
      </c>
      <c r="K21" s="279">
        <f t="shared" si="1"/>
        <v>0.35776098986986898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74nyuERzu2Bx/R2G6HOuw0tzb9hyoH/Su0XcqzsWaHfuhbwYkMcvRSbi/a75L1PE9X9fRN+IZFr1muRaVMBOg==" saltValue="JSN62I73I3L7DtSGx1ZfM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